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trlProps/ctrlProp1.xml" ContentType="application/vnd.ms-excel.contro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06 INDUSTRIE, DIENSTLEISTUNGEN\STATENT\"/>
    </mc:Choice>
  </mc:AlternateContent>
  <workbookProtection lockStructure="1"/>
  <bookViews>
    <workbookView xWindow="14505" yWindow="-15" windowWidth="14310" windowHeight="14700"/>
  </bookViews>
  <sheets>
    <sheet name="Graubünden" sheetId="2" r:id="rId1"/>
    <sheet name="Schweiz" sheetId="26" r:id="rId2"/>
    <sheet name="Uebersetzungen" sheetId="14" state="hidden" r:id="rId3"/>
  </sheets>
  <calcPr calcId="162913" concurrentCalc="0"/>
</workbook>
</file>

<file path=xl/calcChain.xml><?xml version="1.0" encoding="utf-8"?>
<calcChain xmlns="http://schemas.openxmlformats.org/spreadsheetml/2006/main">
  <c r="A9" i="26" l="1"/>
  <c r="A68" i="26"/>
  <c r="A67" i="26"/>
  <c r="A65" i="26"/>
  <c r="B63" i="26"/>
  <c r="A63" i="26"/>
  <c r="A62" i="26"/>
  <c r="B61" i="26"/>
  <c r="A61" i="26"/>
  <c r="B60" i="26"/>
  <c r="A60" i="26"/>
  <c r="B59" i="26"/>
  <c r="A59" i="26"/>
  <c r="B58" i="26"/>
  <c r="A58" i="26"/>
  <c r="B57" i="26"/>
  <c r="A57" i="26"/>
  <c r="B56" i="26"/>
  <c r="A56" i="26"/>
  <c r="B55" i="26"/>
  <c r="A55" i="26"/>
  <c r="B54" i="26"/>
  <c r="A54" i="26"/>
  <c r="B53" i="26"/>
  <c r="A53" i="26"/>
  <c r="B52" i="26"/>
  <c r="A52" i="26"/>
  <c r="B51" i="26"/>
  <c r="A51" i="26"/>
  <c r="B50" i="26"/>
  <c r="A50" i="26"/>
  <c r="B49" i="26"/>
  <c r="A49" i="26"/>
  <c r="B48" i="26"/>
  <c r="A48" i="26"/>
  <c r="B47" i="26"/>
  <c r="A47" i="26"/>
  <c r="B46" i="26"/>
  <c r="A46" i="26"/>
  <c r="B45" i="26"/>
  <c r="A45" i="26"/>
  <c r="B44" i="26"/>
  <c r="A44" i="26"/>
  <c r="B43" i="26"/>
  <c r="A43" i="26"/>
  <c r="B42" i="26"/>
  <c r="A42" i="26"/>
  <c r="B41" i="26"/>
  <c r="A41" i="26"/>
  <c r="B40" i="26"/>
  <c r="A40" i="26"/>
  <c r="B39" i="26"/>
  <c r="A39" i="26"/>
  <c r="B38" i="26"/>
  <c r="A38" i="26"/>
  <c r="B37" i="26"/>
  <c r="A37" i="26"/>
  <c r="B36" i="26"/>
  <c r="A36" i="26"/>
  <c r="B35" i="26"/>
  <c r="A35" i="26"/>
  <c r="B34" i="26"/>
  <c r="A34" i="26"/>
  <c r="B33" i="26"/>
  <c r="A33" i="26"/>
  <c r="B32" i="26"/>
  <c r="A32" i="26"/>
  <c r="A31" i="26"/>
  <c r="B30" i="26"/>
  <c r="A30" i="26"/>
  <c r="B29" i="26"/>
  <c r="A29" i="26"/>
  <c r="B28" i="26"/>
  <c r="A28" i="26"/>
  <c r="B27" i="26"/>
  <c r="A27" i="26"/>
  <c r="B26" i="26"/>
  <c r="A26" i="26"/>
  <c r="B25" i="26"/>
  <c r="A25" i="26"/>
  <c r="B24" i="26"/>
  <c r="A24" i="26"/>
  <c r="B23" i="26"/>
  <c r="A23" i="26"/>
  <c r="B22" i="26"/>
  <c r="A22" i="26"/>
  <c r="B21" i="26"/>
  <c r="A21" i="26"/>
  <c r="B20" i="26"/>
  <c r="A20" i="26"/>
  <c r="B19" i="26"/>
  <c r="A19" i="26"/>
  <c r="B18" i="26"/>
  <c r="A18" i="26"/>
  <c r="B17" i="26"/>
  <c r="A17" i="26"/>
  <c r="B16" i="26"/>
  <c r="A16" i="26"/>
  <c r="B15" i="26"/>
  <c r="A15" i="26"/>
  <c r="B14" i="26"/>
  <c r="A14" i="26"/>
  <c r="A13" i="26"/>
  <c r="B12" i="26"/>
  <c r="A12" i="26"/>
  <c r="B11" i="26"/>
  <c r="A11" i="26"/>
  <c r="S10" i="26"/>
  <c r="D10" i="26"/>
  <c r="A7" i="26"/>
  <c r="S10" i="2"/>
  <c r="D10" i="2"/>
  <c r="A68" i="2"/>
  <c r="A67" i="2"/>
  <c r="A65" i="2"/>
  <c r="B63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2" i="2"/>
  <c r="B11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9" i="2"/>
  <c r="A7" i="2"/>
</calcChain>
</file>

<file path=xl/sharedStrings.xml><?xml version="1.0" encoding="utf-8"?>
<sst xmlns="http://schemas.openxmlformats.org/spreadsheetml/2006/main" count="407" uniqueCount="366">
  <si>
    <t>Beschäftigte</t>
  </si>
  <si>
    <t>01 bis 03</t>
  </si>
  <si>
    <t>Landwirtschaft, Forstwirtschaft und Fischerei</t>
  </si>
  <si>
    <t>Primärer Sektor</t>
  </si>
  <si>
    <t>05 bis 09</t>
  </si>
  <si>
    <t>Bergbau und Gewinnung von Steinen und Erden</t>
  </si>
  <si>
    <t>10 bis 12</t>
  </si>
  <si>
    <t>Herstellung von Nahrungs- und Genussmitteln, Getränken und Tabakerzeugnissen</t>
  </si>
  <si>
    <t>13 bis 15</t>
  </si>
  <si>
    <t>Herstellung von Textilien, Bekleidung, Leder, Lederwaren und Schuhen</t>
  </si>
  <si>
    <t>16 bis 18</t>
  </si>
  <si>
    <t>Herstellung von Holzwaren, Papier, Pappe und Waren daraus, Herstellung von Druckerzeugnissen</t>
  </si>
  <si>
    <t>19 + 20</t>
  </si>
  <si>
    <t>Kokerei, Mineralölverarbeitung und Herstellung von chemischen Erzeugnissen</t>
  </si>
  <si>
    <t>Herstellung von pharmazeutischen Erzeugnissen</t>
  </si>
  <si>
    <t>22 + 23</t>
  </si>
  <si>
    <t>Herstellung von Gummi- und Kunststoffwaren sowie von Glas und Glaswaren, Keramik, Verarbeitung von Steinen und Erden</t>
  </si>
  <si>
    <t>24 + 25</t>
  </si>
  <si>
    <t>Metallerzeugung und -bearbeitung, Herstellung von Metallerzeugnissen</t>
  </si>
  <si>
    <t>Herstellung von Datenverarbeitungsgeräten, elektronischen, optischen Erzeugnissen und Uhren</t>
  </si>
  <si>
    <t>Herstellung von elektrischen Ausrüstungen</t>
  </si>
  <si>
    <t>Maschinenbau</t>
  </si>
  <si>
    <t>29 + 30</t>
  </si>
  <si>
    <t>Fahrzeugbau</t>
  </si>
  <si>
    <t>31 bis 33</t>
  </si>
  <si>
    <t>Sonstige Herstellung von Waren, Reparatur und Installation von Maschinen und Ausrüstungen</t>
  </si>
  <si>
    <t>Energieversorgung</t>
  </si>
  <si>
    <t>36 bis 39</t>
  </si>
  <si>
    <t xml:space="preserve">Wasserversorgung; Abwasser- und Abfallentsorgung und Beseitigung von Umweltverschmutzungen </t>
  </si>
  <si>
    <t>41 + 42</t>
  </si>
  <si>
    <t xml:space="preserve">Hoch- und Tiefbau </t>
  </si>
  <si>
    <t>Vorbereitende Baustellenarbeiten, Bauinstallation und sonstiges Ausbaugewerbe</t>
  </si>
  <si>
    <t>Sekundärer Sektor</t>
  </si>
  <si>
    <t>Handel mit Motorfahrzeugen; Instandhaltung und Reparatur von Motorfahrzeugen</t>
  </si>
  <si>
    <t>Grosshandel (ohne Handel mit Motorfahrzeugen)</t>
  </si>
  <si>
    <t>Detailhandel (ohne Handel mit Motorfahrzeugen)</t>
  </si>
  <si>
    <t>Landverkehr und Transport in Rohrfernleitungen</t>
  </si>
  <si>
    <t>50 + 51</t>
  </si>
  <si>
    <t>Schifffahrt und Luftfahrt</t>
  </si>
  <si>
    <t>Lagerei sowie Erbringung von sonstigen Dienstleistungen für den Verkehr</t>
  </si>
  <si>
    <t>Post-, Kurier- und Expressdienste</t>
  </si>
  <si>
    <t>Beherbergung</t>
  </si>
  <si>
    <t>Gastronomie</t>
  </si>
  <si>
    <t>58 bis 60</t>
  </si>
  <si>
    <t>Verlagswesen, audiovisuelle Medien und Rundfunk</t>
  </si>
  <si>
    <t>Telekommunikation</t>
  </si>
  <si>
    <t>62 + 63</t>
  </si>
  <si>
    <t>Informationstechnologische und Informationsdienstleistungen</t>
  </si>
  <si>
    <t>Erbringung von Finanzdienstleistungen</t>
  </si>
  <si>
    <t>Versicherungen, Rückversicherungen und Pensionskassen (ohne Sozialversicherung)</t>
  </si>
  <si>
    <t>Mit Finanz- und Versicherungsdienstleistungen verbundene Tätigkeiten</t>
  </si>
  <si>
    <t>Grundstücks- und Wohnungswesen</t>
  </si>
  <si>
    <t>Rechts- und Steuerberatung, Wirtschaftsprüfung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</si>
  <si>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</si>
  <si>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</si>
  <si>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</si>
  <si>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73 bis 75</t>
  </si>
  <si>
    <t>Sonstige freiberufliche, wissenschaftliche und technische Tätigkeiten</t>
  </si>
  <si>
    <t>77 + 79 bis 82</t>
  </si>
  <si>
    <t>Erbringung von sonstigen wirtschaftlichen Dienstleistungen</t>
  </si>
  <si>
    <t>Vermittlung und Überlassung von Arbeitskräften</t>
  </si>
  <si>
    <t>Öffentliche Verwaltung, Verteidigung; Sozialversicherung</t>
  </si>
  <si>
    <t>Erziehung und Unterricht</t>
  </si>
  <si>
    <t>Gesundheitswesen</t>
  </si>
  <si>
    <t>Heime (ohne Erholungs- und Ferienheime)</t>
  </si>
  <si>
    <t xml:space="preserve">Sozialwesen (ohne Heime)
</t>
  </si>
  <si>
    <t>90 bis 93</t>
  </si>
  <si>
    <t>Kunst, Unterhaltung und Erholung</t>
  </si>
  <si>
    <t>94 bis 96</t>
  </si>
  <si>
    <t>Erbringung von sonstigen Dienstleistungen</t>
  </si>
  <si>
    <t>Tertiärer Sektor</t>
  </si>
  <si>
    <t>Total</t>
  </si>
  <si>
    <t>Quelle: BFS (STATENT)</t>
  </si>
  <si>
    <t>NOGA-Code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</si>
  <si>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</si>
  <si>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</si>
  <si>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</si>
  <si>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</si>
  <si>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</si>
  <si>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</si>
  <si>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</si>
  <si>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</si>
  <si>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</si>
  <si>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</si>
  <si>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</si>
  <si>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</si>
  <si>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&lt;UTitel&gt;</t>
  </si>
  <si>
    <t>T1-2</t>
  </si>
  <si>
    <t>&lt;SpaltenTitel_1&gt;</t>
  </si>
  <si>
    <t>&lt;SpaltenTitel_2&gt;</t>
  </si>
  <si>
    <t>&lt;SpaltenTitel_3&gt;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</si>
  <si>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</si>
  <si>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</si>
  <si>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</si>
  <si>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</si>
  <si>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</si>
  <si>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</si>
  <si>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</si>
  <si>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</si>
  <si>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</si>
  <si>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</si>
  <si>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</si>
  <si>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</si>
  <si>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&lt;Zeilentitel_13&gt;</t>
  </si>
  <si>
    <t>&lt;Zeilentitel_14&gt;</t>
  </si>
  <si>
    <t>&lt;Zeilentitel_15&gt;</t>
  </si>
  <si>
    <t>&lt;Zeilentitel_16&gt;</t>
  </si>
  <si>
    <t>&lt;Zeilentitel_17&gt;</t>
  </si>
  <si>
    <t>&lt;Zeilentitel_18&gt;</t>
  </si>
  <si>
    <t>&lt;Zeilentitel_19&gt;</t>
  </si>
  <si>
    <t>&lt;Zeilentitel_20&gt;</t>
  </si>
  <si>
    <t>&lt;Zeilentitel_21&gt;</t>
  </si>
  <si>
    <t>&lt;Zeilentitel_22&gt;</t>
  </si>
  <si>
    <t>&lt;Zeilentitel_23&gt;</t>
  </si>
  <si>
    <t>&lt;Zeilentitel_24&gt;</t>
  </si>
  <si>
    <t>&lt;Zeilentitel_25&gt;</t>
  </si>
  <si>
    <t>&lt;Zeilentitel_26&gt;</t>
  </si>
  <si>
    <t>&lt;Zeilentitel_27&gt;</t>
  </si>
  <si>
    <t>&lt;Legende_1&gt;</t>
  </si>
  <si>
    <t>&lt;Legende_2&gt;</t>
  </si>
  <si>
    <t>&lt;Legende_3&gt;</t>
  </si>
  <si>
    <t>&lt;Legende_4&gt;</t>
  </si>
  <si>
    <t>&lt;Quelle_1&gt;</t>
  </si>
  <si>
    <t>&lt;Aktualisierung&gt;</t>
  </si>
  <si>
    <t>T2</t>
  </si>
  <si>
    <t>&lt;T2Titel&gt;</t>
  </si>
  <si>
    <t>&lt;T2UTitel&gt;</t>
  </si>
  <si>
    <t>&lt;Zeilentitel_28&gt;</t>
  </si>
  <si>
    <t>&lt;Zeilentitel_29&gt;</t>
  </si>
  <si>
    <t>&lt;Zeilentitel_30&gt;</t>
  </si>
  <si>
    <t>&lt;Zeilentitel_31&gt;</t>
  </si>
  <si>
    <t>&lt;Zeilentitel_32&gt;</t>
  </si>
  <si>
    <t>&lt;Zeilentitel_33&gt;</t>
  </si>
  <si>
    <t>&lt;Zeilentitel_34&gt;</t>
  </si>
  <si>
    <t>&lt;Zeilentitel_35&gt;</t>
  </si>
  <si>
    <t>&lt;Zeilentitel_36&gt;</t>
  </si>
  <si>
    <t>&lt;Zeilentitel_37&gt;</t>
  </si>
  <si>
    <t>&lt;Zeilentitel_38&gt;</t>
  </si>
  <si>
    <t>&lt;Zeilentitel_39&gt;</t>
  </si>
  <si>
    <t>&lt;Zeilentitel_40&gt;</t>
  </si>
  <si>
    <t>&lt;Zeilentitel_41&gt;</t>
  </si>
  <si>
    <t>&lt;Zeilentitel_42&gt;</t>
  </si>
  <si>
    <t>&lt;Zeilentitel_43&gt;</t>
  </si>
  <si>
    <t>&lt;Zeilentitel_44&gt;</t>
  </si>
  <si>
    <t>&lt;Zeilentitel_45&gt;</t>
  </si>
  <si>
    <t>&lt;Zeilentitel_46&gt;</t>
  </si>
  <si>
    <t>&lt;Zeilentitel_47&gt;</t>
  </si>
  <si>
    <t>&lt;Zeilentitel_48&gt;</t>
  </si>
  <si>
    <t>&lt;Zeilentitel_49&gt;</t>
  </si>
  <si>
    <t>&lt;Zeilentitel_50&gt;</t>
  </si>
  <si>
    <t>&lt;Zeilentitel_51&gt;</t>
  </si>
  <si>
    <t>&lt;Zeilentitel_52&gt;</t>
  </si>
  <si>
    <t>&lt;Zeilentitel_53&gt;</t>
  </si>
  <si>
    <t>&lt;Zeilentitel_54&gt;</t>
  </si>
  <si>
    <t>Funtauna: UST (STATENT)</t>
  </si>
  <si>
    <t>Fonte: UST (STATENT)</t>
  </si>
  <si>
    <t>&lt;Zeilentitel_1.1&gt;</t>
  </si>
  <si>
    <t>&lt;Zeilentitel_2.1&gt;</t>
  </si>
  <si>
    <t>&lt;Zeilentitel_3.1&gt;</t>
  </si>
  <si>
    <t>&lt;Zeilentitel_4.1&gt;</t>
  </si>
  <si>
    <t>&lt;Zeilentitel_5.1&gt;</t>
  </si>
  <si>
    <t>&lt;Zeilentitel_6.1&gt;</t>
  </si>
  <si>
    <t>&lt;Zeilentitel_7.1&gt;</t>
  </si>
  <si>
    <t>&lt;Zeilentitel_8.1&gt;</t>
  </si>
  <si>
    <t>&lt;Zeilentitel_9.1&gt;</t>
  </si>
  <si>
    <t>&lt;Zeilentitel_10.1&gt;</t>
  </si>
  <si>
    <t>&lt;Zeilentitel_11.1&gt;</t>
  </si>
  <si>
    <t>&lt;Zeilentitel_12.1&gt;</t>
  </si>
  <si>
    <t>&lt;Zeilentitel_13.1&gt;</t>
  </si>
  <si>
    <t>&lt;Zeilentitel_14.1&gt;</t>
  </si>
  <si>
    <t>&lt;Zeilentitel_15.1&gt;</t>
  </si>
  <si>
    <t>&lt;Zeilentitel_16.1&gt;</t>
  </si>
  <si>
    <t>&lt;Zeilentitel_17.1&gt;</t>
  </si>
  <si>
    <t>&lt;Zeilentitel_18.1&gt;</t>
  </si>
  <si>
    <t>&lt;Zeilentitel_19.1&gt;</t>
  </si>
  <si>
    <t>&lt;Zeilentitel_20.1&gt;</t>
  </si>
  <si>
    <t>&lt;Zeilentitel_21.1&gt;</t>
  </si>
  <si>
    <t>&lt;Zeilentitel_22.1&gt;</t>
  </si>
  <si>
    <t>&lt;Zeilentitel_23.1&gt;</t>
  </si>
  <si>
    <t>&lt;Zeilentitel_24.1&gt;</t>
  </si>
  <si>
    <t>&lt;Zeilentitel_25.1&gt;</t>
  </si>
  <si>
    <t>&lt;Zeilentitel_26.1&gt;</t>
  </si>
  <si>
    <t>&lt;Zeilentitel_27.1&gt;</t>
  </si>
  <si>
    <t>&lt;Zeilentitel_28.1&gt;</t>
  </si>
  <si>
    <t>&lt;Zeilentitel_29.1&gt;</t>
  </si>
  <si>
    <t>&lt;Zeilentitel_30.1&gt;</t>
  </si>
  <si>
    <t>&lt;Zeilentitel_31.1&gt;</t>
  </si>
  <si>
    <t>&lt;Zeilentitel_32.1&gt;</t>
  </si>
  <si>
    <t>&lt;Zeilentitel_33.1&gt;</t>
  </si>
  <si>
    <t>&lt;Zeilentitel_34.1&gt;</t>
  </si>
  <si>
    <t>&lt;Zeilentitel_35.1&gt;</t>
  </si>
  <si>
    <t>&lt;Zeilentitel_36.1&gt;</t>
  </si>
  <si>
    <t>&lt;Zeilentitel_37.1&gt;</t>
  </si>
  <si>
    <t>&lt;Zeilentitel_38.1&gt;</t>
  </si>
  <si>
    <t>&lt;Zeilentitel_39.1&gt;</t>
  </si>
  <si>
    <t>&lt;Zeilentitel_40.1&gt;</t>
  </si>
  <si>
    <t>&lt;Zeilentitel_41.1&gt;</t>
  </si>
  <si>
    <t>&lt;Zeilentitel_42.1&gt;</t>
  </si>
  <si>
    <t>&lt;Zeilentitel_43.1&gt;</t>
  </si>
  <si>
    <t>&lt;Zeilentitel_44.1&gt;</t>
  </si>
  <si>
    <t>&lt;Zeilentitel_45.1&gt;</t>
  </si>
  <si>
    <t>&lt;Zeilentitel_46.1&gt;</t>
  </si>
  <si>
    <t>&lt;Zeilentitel_47.1&gt;</t>
  </si>
  <si>
    <t>&lt;Zeilentitel_48.1&gt;</t>
  </si>
  <si>
    <t>&lt;Zeilentitel_49.1&gt;</t>
  </si>
  <si>
    <t>&lt;Zeilentitel_50.1&gt;</t>
  </si>
  <si>
    <t>&lt;Zeilentitel_51.1&gt;</t>
  </si>
  <si>
    <t>&lt;Zeilentitel_52.1&gt;</t>
  </si>
  <si>
    <t>&lt;Zeilentitel_53.1&gt;</t>
  </si>
  <si>
    <t>&lt;Zeilentitel_54.1&gt;</t>
  </si>
  <si>
    <t>Agricoltura, selvicoltura e pesca</t>
  </si>
  <si>
    <t>Attività estrattive</t>
  </si>
  <si>
    <t>Industrie alimentari e del tabacco</t>
  </si>
  <si>
    <t>Industrie tessili e confezione di articoli di abbigliamento</t>
  </si>
  <si>
    <t>Industrie del legno e della carta; stampa</t>
  </si>
  <si>
    <t>Cokeria, raffinazzione e fabbricazione di prodotti chimici</t>
  </si>
  <si>
    <t>Fabbricazione di prodotti farmaceutici</t>
  </si>
  <si>
    <t>Fabbricazione di articoli in gomma e materie plastiche</t>
  </si>
  <si>
    <t>Fabbricazione di prodotti in metallo</t>
  </si>
  <si>
    <t>Fabbricazione di computer e prodotti di elettronica; industria orologiera</t>
  </si>
  <si>
    <t>Fabbricazione di apparecchiature elettriche</t>
  </si>
  <si>
    <t>Fabbricazione di macchinari e apparecchiature</t>
  </si>
  <si>
    <t>Fabbricazione di autoveicoli</t>
  </si>
  <si>
    <t>Altre industrie manifatturiere, riparazione e installazione</t>
  </si>
  <si>
    <t>Fornitura di energia elettrica</t>
  </si>
  <si>
    <t>Raccolta, trattamento e fornitura di acqua; gestione di rifiuti</t>
  </si>
  <si>
    <t xml:space="preserve">Costruzione di edifici e ingegneria civile </t>
  </si>
  <si>
    <t>Lavori di costruzione specializzati</t>
  </si>
  <si>
    <t>Commercio e riparazione di autoveicoli e motocicli</t>
  </si>
  <si>
    <t>Commercio all'ingrosso</t>
  </si>
  <si>
    <t>Commercio al dettaglio</t>
  </si>
  <si>
    <t>Trasporto terrestre e trasporto mediante condotte</t>
  </si>
  <si>
    <t>Trasporti marittimi e trasporto aereo</t>
  </si>
  <si>
    <t>Magazzinaggio e attività di supporto ai trasporti</t>
  </si>
  <si>
    <t>Servizi postali e attività di corriere</t>
  </si>
  <si>
    <t>Servizi di alloggio</t>
  </si>
  <si>
    <t>Attività di servizi di ristorazione</t>
  </si>
  <si>
    <t>Editoria, audiovisivo e radiodiffusione</t>
  </si>
  <si>
    <t>Telecomunicazioni</t>
  </si>
  <si>
    <t>Programmazione, consulenza informatica e attività dei servizi d'informazione</t>
  </si>
  <si>
    <t>Prestazione di servizi finanziari</t>
  </si>
  <si>
    <t>Assicurazioni</t>
  </si>
  <si>
    <t>Attività ausiliarie dei servizi finanziari e delle attività assicurative</t>
  </si>
  <si>
    <t>Attività immobiliari</t>
  </si>
  <si>
    <t>Attività legali e contabilità</t>
  </si>
  <si>
    <t>Attività di sedi centrali; consulenza gestionale</t>
  </si>
  <si>
    <t>Attività degli studi di architettura e d'ingegneria</t>
  </si>
  <si>
    <t>Ricerca scientifica e sviluppo</t>
  </si>
  <si>
    <t>Altre attività professionali, scientifiche e tecniche</t>
  </si>
  <si>
    <t>Attività amministrative e di supporto</t>
  </si>
  <si>
    <t>Attività di ricerca, selezione, fornitura di personale</t>
  </si>
  <si>
    <t>Istruzione</t>
  </si>
  <si>
    <t>Attività dei servizi sanitari</t>
  </si>
  <si>
    <t>Servizi di assistenza residenziale</t>
  </si>
  <si>
    <t>Assistenza sociale non residenziale</t>
  </si>
  <si>
    <t>Arte, spettacolo e attività ricreative</t>
  </si>
  <si>
    <t>Altre attività di servizi personali</t>
  </si>
  <si>
    <t>Settore secondario</t>
  </si>
  <si>
    <t>Totale</t>
  </si>
  <si>
    <t>Settore primario</t>
  </si>
  <si>
    <t>Pubblica amministrazione, difesa; sicurezza sociale</t>
  </si>
  <si>
    <t>Settore terziario</t>
  </si>
  <si>
    <t>Denominazione</t>
  </si>
  <si>
    <t>Bezeichnung</t>
  </si>
  <si>
    <t>Agricultura, selvicultura e pestga</t>
  </si>
  <si>
    <t>Industria da minieras ed explotaziun da crappa e da terra</t>
  </si>
  <si>
    <t>Producziun da victualias e da products da giudiment, bavrondas e products da tubac</t>
  </si>
  <si>
    <t>Producziun ed elavuraziun da metal, producziun da products da metal</t>
  </si>
  <si>
    <t>Producziun d'apparats d'elavuraziun da datas, d'apparats electronics e d'uras opticas</t>
  </si>
  <si>
    <t>Ulteriura producziun da rauba, reparatura ed installaziun da maschinas e d'equipament</t>
  </si>
  <si>
    <t>Lavurs preparatorias da plazzals, installaziuns da construcziun ed ulteriurs manaschis d'amplificaziun</t>
  </si>
  <si>
    <t>Commerzi da vehichels a motor; reparatura e reparatura da vehichels a motor</t>
  </si>
  <si>
    <t>Commerzi a l'engrossa (senza commerzi cun vehichels a motor)</t>
  </si>
  <si>
    <t>Commerzi en detagl (senza commerzi cun vehichels a motor)</t>
  </si>
  <si>
    <t>Traffic terrester e transport en conducts da bischens</t>
  </si>
  <si>
    <t>La magasinaziun sco er la furniziun d'ulteriurs servetschs per il traffic</t>
  </si>
  <si>
    <t>Chasas edituras, medias audiovisualas e radiodiffusiun</t>
  </si>
  <si>
    <t>Tecnologias e servetschs d'infurmaziun</t>
  </si>
  <si>
    <t>Assicuranzas, reassicuranzas e cassas da pensiun (senza assicuranza sociala)</t>
  </si>
  <si>
    <t>Activitads colliadas cun prestaziuns da finanzas e d'assicuranza</t>
  </si>
  <si>
    <t>Cussegliaziun da dretg e da taglia, examinaziun economica</t>
  </si>
  <si>
    <t>Biros d'architectura e d'inschigners; examinaziun tecnica, fisica e chemica</t>
  </si>
  <si>
    <t>Perscrutaziun e svilup</t>
  </si>
  <si>
    <t>Autras activitads professiunalas libras, scientificas e tecnicas</t>
  </si>
  <si>
    <t>Intermediaziun e surlaschada da forzas da lavur</t>
  </si>
  <si>
    <t>Administraziun publica, defensiun; assicuranza sociala</t>
  </si>
  <si>
    <t>Educaziun ed instrucziun</t>
  </si>
  <si>
    <t xml:space="preserve">Fatgs socials (senza chasas da dimora)
</t>
  </si>
  <si>
    <t>Art, divertiment e recreaziun</t>
  </si>
  <si>
    <t>Designaziun</t>
  </si>
  <si>
    <t>Sectur primar</t>
  </si>
  <si>
    <t>Fabricaziun da textilias, vestgadira, tgirom, rauba da tgirom e chalzers</t>
  </si>
  <si>
    <t>Producziun da rauba da lain, da palpiri, da chartun e da rauba ordlonder, producziun da products da stampa</t>
  </si>
  <si>
    <t>Cocaria, elavuraziun d'ieli mineral e producziun da products chemics</t>
  </si>
  <si>
    <t>Fabricaziun da products farmaceutics</t>
  </si>
  <si>
    <t>Fabricaziun da products da gumma e da materia sintetica sco er da vaider e da vaider, cheramica, elavuraziun da crappa e terra</t>
  </si>
  <si>
    <t>Fabricaziun d'equipaments electrics</t>
  </si>
  <si>
    <t>Construcziun da maschinas</t>
  </si>
  <si>
    <t>Construcziun da vehichels</t>
  </si>
  <si>
    <t>Provediment d'energia</t>
  </si>
  <si>
    <t xml:space="preserve">Provediment d'aua; allontanament d'aua persa e da ruments ed eliminaziun da contaminaziuns da l'ambient </t>
  </si>
  <si>
    <t xml:space="preserve">Construcziun auta e bassa </t>
  </si>
  <si>
    <t>Sectur secundar</t>
  </si>
  <si>
    <t>Navigaziun ed aviatica</t>
  </si>
  <si>
    <t>Servetschs da posta, da curier e d'express</t>
  </si>
  <si>
    <t>Alloschament</t>
  </si>
  <si>
    <t>Gastronomia</t>
  </si>
  <si>
    <t>Telecommunicaziun</t>
  </si>
  <si>
    <t>Furniziun da servetschs finanzials</t>
  </si>
  <si>
    <t>Fatgs immobigliars ed abitaziuns</t>
  </si>
  <si>
    <t>Administraziun e gestiun d' interpresas e da manaschis; cussegliaziun d' interpresas</t>
  </si>
  <si>
    <t>Furniziun d'ulteriuras prestaziuns economicas</t>
  </si>
  <si>
    <t>Fatgs da sanadad</t>
  </si>
  <si>
    <t>Chasas da dimora (senza chasas da recreaziun e da vacanzas)</t>
  </si>
  <si>
    <t>Furniziun d'ulteriurs servetschs</t>
  </si>
  <si>
    <t>Sectur terziar</t>
  </si>
  <si>
    <t>Codice NOGA</t>
  </si>
  <si>
    <t>Code NOGA</t>
  </si>
  <si>
    <t>01 fin 03</t>
  </si>
  <si>
    <t>05 fin 09</t>
  </si>
  <si>
    <t>10 fin 12</t>
  </si>
  <si>
    <t>13 fin 15</t>
  </si>
  <si>
    <t>16 fin 18</t>
  </si>
  <si>
    <t>31 fin 33</t>
  </si>
  <si>
    <t>36 fin 39</t>
  </si>
  <si>
    <t>58 fin 60</t>
  </si>
  <si>
    <t>dal 01 a 03</t>
  </si>
  <si>
    <t>73 fin 75</t>
  </si>
  <si>
    <t>77 + 79 fin 82</t>
  </si>
  <si>
    <t>90 fin 93</t>
  </si>
  <si>
    <t>94 fin 96</t>
  </si>
  <si>
    <t>dal 05 al 09</t>
  </si>
  <si>
    <t>dal 10 al 12</t>
  </si>
  <si>
    <t>dal 13 al 15</t>
  </si>
  <si>
    <t>dal 16 al 18</t>
  </si>
  <si>
    <t>dal 31 al 33</t>
  </si>
  <si>
    <t>dal 36 al 39</t>
  </si>
  <si>
    <t>dal 58 al 60</t>
  </si>
  <si>
    <t>dal 73 al 75</t>
  </si>
  <si>
    <t>77 + dal 79 al 82</t>
  </si>
  <si>
    <t>dal 90 al 93</t>
  </si>
  <si>
    <t>dal 94 al 96</t>
  </si>
  <si>
    <t>Occupàs</t>
  </si>
  <si>
    <t>Equivalents a temp cumplain</t>
  </si>
  <si>
    <t>Impiegati</t>
  </si>
  <si>
    <t>Impiegati a tempo pieno</t>
  </si>
  <si>
    <t>Vollzeitäquivalente</t>
  </si>
  <si>
    <t>*Die Werte 2005 und 2008 basieren auf einem Schätzmodell, welches  die STATENT-Methode für die entsprechenden Jahre simuliert.</t>
  </si>
  <si>
    <t>**Revision VZÄ-Schätzmodell für Jahre 2015 und 2016, Daten nicht direkt mit Vorjahren vergleichbar</t>
  </si>
  <si>
    <t>*I valori 2005 e 2008 si basano su un modello di stima che simula il metodo STATENT per gli anni corrispondenti.</t>
  </si>
  <si>
    <t>**Modello di stima ETP revisionato negli anni 2015 e 2016, dati quindi non sono direttamente confrontabili con gli anni precedenti.</t>
  </si>
  <si>
    <t>*Las valurs 2005 e 2008 sa basan sin in model da stimaziun che simulescha la metoda STATENT per ils onns correspundents.</t>
  </si>
  <si>
    <t>**Revisiun dal model da stimaziun da la CPE ils onns 2015 e 2016, datas betg cumparegliablas directamain cun ils onns precedents</t>
  </si>
  <si>
    <t>2008*</t>
  </si>
  <si>
    <t>2005*</t>
  </si>
  <si>
    <t>2016**</t>
  </si>
  <si>
    <t>2015**</t>
  </si>
  <si>
    <t>Entwicklung der Beschäftigten und Vollzeitäquivalenten in Graubünden, seit 2005</t>
  </si>
  <si>
    <t>Svilup da las persunas occupadas e da las equivalenzas da plazzas a temp cumplain en il Grischun, dapi il 2005</t>
  </si>
  <si>
    <t>Evoluzione degli impiegati e degli equivalenti a tempo pieno nei Grigioni, dal 2005</t>
  </si>
  <si>
    <t>Evoluzione degli impiegati e degli equivalenti a tempo pieno in Svizzera, dal 2005</t>
  </si>
  <si>
    <t>Svilup da las persunas occupadas e da las equivalenzas da plazzas a temp cumplain en la Svizra, dapi il 2005</t>
  </si>
  <si>
    <t>Entwicklung der Beschäftigten und Vollzeitäquivalenten in der Schweiz, seit 2015</t>
  </si>
  <si>
    <t>Letztmals aktualisiert am: 22.08.2024</t>
  </si>
  <si>
    <t>Ultima actualisaziun: 22.08.2024</t>
  </si>
  <si>
    <t>Ulimo aggiornamento: 22.08.2024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</si>
</sst>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lbany AMT"/>
    </font>
    <font>
      <sz val="10"/>
      <name val="Arial"/>
      <family val="2"/>
    </font>
    <font>
      <sz val="8"/>
      <color rgb="FF000000"/>
      <name val="Segoe UI"/>
      <family val="2"/>
    </font>
    <font>
      <b/>
      <sz val="10"/>
      <color rgb="FFFF0000"/>
      <name val="Arial"/>
      <family val="2"/>
    </font>
    <font>
      <b/>
      <sz val="11"/>
      <name val="Tahoma"/>
      <family val="2"/>
    </font>
    <font>
      <b/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5" fillId="0" borderId="0"/>
  </cellStyleXfs>
  <cellXfs count="57">
    <xf numFmtId="0" fontId="0" fillId="0" borderId="0" xfId="0"/>
    <xf numFmtId="0" fontId="18" fillId="33" borderId="0" xfId="0" applyFont="1" applyFill="1"/>
    <xf numFmtId="0" fontId="18" fillId="33" borderId="0" xfId="0" applyFont="1" applyFill="1" applyBorder="1"/>
    <xf numFmtId="0" fontId="19" fillId="33" borderId="0" xfId="0" applyFont="1" applyFill="1" applyBorder="1" applyAlignment="1">
      <alignment vertical="top"/>
    </xf>
    <xf numFmtId="0" fontId="18" fillId="33" borderId="0" xfId="0" applyFont="1" applyFill="1" applyBorder="1" applyAlignment="1">
      <alignment vertical="top" wrapText="1"/>
    </xf>
    <xf numFmtId="0" fontId="20" fillId="33" borderId="0" xfId="0" applyFont="1" applyFill="1" applyBorder="1" applyAlignment="1">
      <alignment vertical="top"/>
    </xf>
    <xf numFmtId="0" fontId="20" fillId="33" borderId="0" xfId="0" applyFont="1" applyFill="1" applyBorder="1" applyAlignment="1">
      <alignment vertical="top" wrapText="1"/>
    </xf>
    <xf numFmtId="0" fontId="22" fillId="33" borderId="0" xfId="0" applyFont="1" applyFill="1"/>
    <xf numFmtId="0" fontId="22" fillId="33" borderId="17" xfId="0" applyFont="1" applyFill="1" applyBorder="1"/>
    <xf numFmtId="3" fontId="22" fillId="33" borderId="16" xfId="0" applyNumberFormat="1" applyFont="1" applyFill="1" applyBorder="1"/>
    <xf numFmtId="3" fontId="22" fillId="33" borderId="18" xfId="0" applyNumberFormat="1" applyFont="1" applyFill="1" applyBorder="1"/>
    <xf numFmtId="3" fontId="22" fillId="33" borderId="19" xfId="0" applyNumberFormat="1" applyFont="1" applyFill="1" applyBorder="1"/>
    <xf numFmtId="0" fontId="22" fillId="34" borderId="17" xfId="0" applyFont="1" applyFill="1" applyBorder="1"/>
    <xf numFmtId="3" fontId="22" fillId="34" borderId="20" xfId="0" applyNumberFormat="1" applyFont="1" applyFill="1" applyBorder="1"/>
    <xf numFmtId="3" fontId="22" fillId="34" borderId="17" xfId="0" applyNumberFormat="1" applyFont="1" applyFill="1" applyBorder="1"/>
    <xf numFmtId="3" fontId="22" fillId="33" borderId="17" xfId="0" applyNumberFormat="1" applyFont="1" applyFill="1" applyBorder="1"/>
    <xf numFmtId="3" fontId="22" fillId="33" borderId="21" xfId="0" applyNumberFormat="1" applyFont="1" applyFill="1" applyBorder="1"/>
    <xf numFmtId="3" fontId="22" fillId="34" borderId="18" xfId="0" applyNumberFormat="1" applyFont="1" applyFill="1" applyBorder="1"/>
    <xf numFmtId="0" fontId="23" fillId="35" borderId="22" xfId="0" applyFont="1" applyFill="1" applyBorder="1"/>
    <xf numFmtId="3" fontId="23" fillId="35" borderId="23" xfId="0" applyNumberFormat="1" applyFont="1" applyFill="1" applyBorder="1"/>
    <xf numFmtId="3" fontId="23" fillId="35" borderId="24" xfId="0" applyNumberFormat="1" applyFont="1" applyFill="1" applyBorder="1"/>
    <xf numFmtId="3" fontId="23" fillId="35" borderId="25" xfId="0" applyNumberFormat="1" applyFont="1" applyFill="1" applyBorder="1"/>
    <xf numFmtId="1" fontId="18" fillId="33" borderId="0" xfId="0" applyNumberFormat="1" applyFont="1" applyFill="1"/>
    <xf numFmtId="1" fontId="18" fillId="33" borderId="0" xfId="0" applyNumberFormat="1" applyFont="1" applyFill="1" applyBorder="1"/>
    <xf numFmtId="1" fontId="22" fillId="33" borderId="0" xfId="0" applyNumberFormat="1" applyFont="1" applyFill="1"/>
    <xf numFmtId="0" fontId="19" fillId="33" borderId="0" xfId="0" applyFont="1" applyFill="1" applyBorder="1"/>
    <xf numFmtId="0" fontId="13" fillId="36" borderId="0" xfId="0" applyFont="1" applyFill="1" applyBorder="1" applyAlignment="1">
      <alignment horizontal="left" vertical="top" wrapText="1"/>
    </xf>
    <xf numFmtId="0" fontId="1" fillId="35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6" fillId="35" borderId="0" xfId="0" applyFont="1" applyFill="1" applyBorder="1" applyAlignment="1">
      <alignment horizontal="left" vertical="top" wrapText="1"/>
    </xf>
    <xf numFmtId="0" fontId="1" fillId="35" borderId="0" xfId="0" applyFont="1" applyFill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8" fillId="35" borderId="0" xfId="0" applyFont="1" applyFill="1" applyBorder="1" applyAlignment="1">
      <alignment horizontal="left" vertical="top" wrapText="1"/>
    </xf>
    <xf numFmtId="0" fontId="14" fillId="35" borderId="0" xfId="0" applyFont="1" applyFill="1" applyBorder="1" applyAlignment="1">
      <alignment horizontal="left" vertical="top" wrapText="1"/>
    </xf>
    <xf numFmtId="0" fontId="1" fillId="37" borderId="0" xfId="0" applyFont="1" applyFill="1" applyBorder="1" applyAlignment="1">
      <alignment horizontal="left" vertical="top" wrapText="1"/>
    </xf>
    <xf numFmtId="0" fontId="14" fillId="37" borderId="0" xfId="0" applyFont="1" applyFill="1" applyBorder="1" applyAlignment="1">
      <alignment wrapText="1"/>
    </xf>
    <xf numFmtId="0" fontId="22" fillId="33" borderId="17" xfId="0" applyFont="1" applyFill="1" applyBorder="1" applyAlignment="1">
      <alignment horizontal="left"/>
    </xf>
    <xf numFmtId="0" fontId="22" fillId="34" borderId="17" xfId="0" applyFont="1" applyFill="1" applyBorder="1" applyAlignment="1">
      <alignment horizontal="left"/>
    </xf>
    <xf numFmtId="0" fontId="23" fillId="35" borderId="22" xfId="0" applyFont="1" applyFill="1" applyBorder="1" applyAlignment="1">
      <alignment horizontal="left"/>
    </xf>
    <xf numFmtId="0" fontId="21" fillId="33" borderId="14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wrapText="1"/>
    </xf>
    <xf numFmtId="0" fontId="22" fillId="33" borderId="0" xfId="0" applyFont="1" applyFill="1" applyAlignment="1">
      <alignment wrapText="1"/>
    </xf>
    <xf numFmtId="3" fontId="22" fillId="34" borderId="0" xfId="0" applyNumberFormat="1" applyFont="1" applyFill="1" applyBorder="1"/>
    <xf numFmtId="0" fontId="29" fillId="33" borderId="0" xfId="0" applyFont="1" applyFill="1"/>
    <xf numFmtId="0" fontId="21" fillId="0" borderId="13" xfId="0" applyFont="1" applyFill="1" applyBorder="1" applyAlignment="1">
      <alignment horizontal="right" wrapText="1"/>
    </xf>
    <xf numFmtId="0" fontId="21" fillId="0" borderId="15" xfId="0" applyFont="1" applyFill="1" applyBorder="1" applyAlignment="1">
      <alignment horizontal="right" wrapText="1"/>
    </xf>
    <xf numFmtId="0" fontId="21" fillId="0" borderId="12" xfId="0" applyFont="1" applyFill="1" applyBorder="1" applyAlignment="1">
      <alignment horizontal="right" wrapText="1"/>
    </xf>
    <xf numFmtId="0" fontId="21" fillId="0" borderId="26" xfId="0" applyFont="1" applyFill="1" applyBorder="1" applyAlignment="1">
      <alignment horizontal="right" wrapText="1"/>
    </xf>
    <xf numFmtId="0" fontId="21" fillId="0" borderId="11" xfId="0" applyFont="1" applyFill="1" applyBorder="1" applyAlignment="1">
      <alignment horizontal="right" wrapText="1"/>
    </xf>
    <xf numFmtId="0" fontId="30" fillId="33" borderId="10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30" fillId="33" borderId="12" xfId="0" applyFont="1" applyFill="1" applyBorder="1" applyAlignment="1">
      <alignment horizontal="center"/>
    </xf>
    <xf numFmtId="3" fontId="18" fillId="33" borderId="0" xfId="0" applyNumberFormat="1" applyFont="1" applyFill="1"/>
    <xf numFmtId="3" fontId="22" fillId="33" borderId="0" xfId="0" applyNumberFormat="1" applyFont="1" applyFill="1"/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 customBuiltin="1"/>
    <cellStyle name="Standard 2" xfId="42"/>
    <cellStyle name="Standard 3" xfId="43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4035425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1</xdr:col>
      <xdr:colOff>4057650</xdr:colOff>
      <xdr:row>0</xdr:row>
      <xdr:rowOff>19050</xdr:rowOff>
    </xdr:from>
    <xdr:to>
      <xdr:col>1</xdr:col>
      <xdr:colOff>6458564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400914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6625" name="Option Button 1" hidden="1">
                <a:extLst>
                  <a:ext uri="{63B3BB69-23CF-44E3-9099-C40C66FF867C}">
                    <a14:compatExt spid="_x0000_s266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6626" name="Option Button 2" hidden="1">
                <a:extLst>
                  <a:ext uri="{63B3BB69-23CF-44E3-9099-C40C66FF867C}">
                    <a14:compatExt spid="_x0000_s266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6627" name="Option Button 3" hidden="1">
                <a:extLst>
                  <a:ext uri="{63B3BB69-23CF-44E3-9099-C40C66FF867C}">
                    <a14:compatExt spid="_x0000_s266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8"/>
  <sheetViews>
    <sheetView tabSelected="1"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7" customWidth="1"/>
    <col min="2" max="2" width="118.5703125" style="7" bestFit="1" customWidth="1"/>
    <col min="3" max="3" width="1.7109375" style="7" customWidth="1"/>
    <col min="4" max="16" width="10" style="7" customWidth="1"/>
    <col min="17" max="17" width="10" style="24" customWidth="1"/>
    <col min="18" max="18" width="1.7109375" style="7" customWidth="1"/>
    <col min="19" max="31" width="10" style="7" customWidth="1"/>
    <col min="32" max="32" width="10" style="24" customWidth="1"/>
    <col min="33" max="16384" width="11.42578125" style="7"/>
  </cols>
  <sheetData>
    <row r="1" spans="1:32" s="2" customFormat="1" ht="12.75" customHeight="1">
      <c r="Q1" s="23"/>
      <c r="AF1" s="23"/>
    </row>
    <row r="2" spans="1:32" s="2" customFormat="1" ht="15.75" customHeight="1">
      <c r="B2" s="25"/>
      <c r="Q2" s="23"/>
      <c r="AF2" s="23"/>
    </row>
    <row r="3" spans="1:32" s="2" customFormat="1" ht="15.75" customHeight="1">
      <c r="B3" s="25"/>
      <c r="Q3" s="23"/>
      <c r="AF3" s="23"/>
    </row>
    <row r="4" spans="1:32" s="2" customFormat="1" ht="15.75" customHeight="1">
      <c r="B4" s="25"/>
      <c r="Q4" s="23"/>
      <c r="AF4" s="23"/>
    </row>
    <row r="5" spans="1:32" s="2" customFormat="1" ht="13.5" customHeight="1">
      <c r="Q5" s="23"/>
      <c r="AF5" s="23"/>
    </row>
    <row r="6" spans="1:32" s="1" customFormat="1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3"/>
    </row>
    <row r="7" spans="1:32" s="1" customFormat="1" ht="15.75" customHeight="1">
      <c r="A7" s="3" t="str">
        <f>VLOOKUP("&lt;Fachbereich&gt;",Uebersetzungen!$B$3:$E$294,Uebersetzungen!$B$2+1,FALSE)</f>
        <v>Daten &amp; Statistik</v>
      </c>
      <c r="B7" s="3"/>
      <c r="Q7" s="22"/>
      <c r="AF7" s="22"/>
    </row>
    <row r="8" spans="1:32" s="1" customFormat="1">
      <c r="A8" s="4"/>
      <c r="B8" s="2"/>
      <c r="Q8" s="22"/>
      <c r="T8" s="55"/>
      <c r="AF8" s="22"/>
    </row>
    <row r="9" spans="1:32" s="1" customFormat="1" ht="18" customHeight="1">
      <c r="A9" s="5" t="str">
        <f>VLOOKUP("&lt;Titel&gt;",Uebersetzungen!$B$3:$E$294,Uebersetzungen!$B$2+1,FALSE)</f>
        <v>Entwicklung der Beschäftigten und Vollzeitäquivalenten in Graubünden, seit 2005</v>
      </c>
      <c r="B9" s="6"/>
      <c r="Q9" s="22"/>
      <c r="AF9" s="22"/>
    </row>
    <row r="10" spans="1:32" s="46" customFormat="1" ht="15">
      <c r="D10" s="52" t="str">
        <f>VLOOKUP("&lt;SpaltenTitel_1&gt;",Uebersetzungen!$B$3:$E$294,Uebersetzungen!$B$2+1,FALSE)</f>
        <v>Beschäftigte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S10" s="52" t="str">
        <f>VLOOKUP("&lt;SpaltenTitel_2&gt;",Uebersetzungen!$B$3:$E$294,Uebersetzungen!$B$2+1,FALSE)</f>
        <v>Vollzeitäquivalente</v>
      </c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</row>
    <row r="11" spans="1:32" s="44" customFormat="1">
      <c r="A11" s="42" t="str">
        <f>VLOOKUP("&lt;Zeilentitel_1&gt;",Uebersetzungen!$B$3:$E$294,Uebersetzungen!$B$2+1,FALSE)</f>
        <v>NOGA-Code</v>
      </c>
      <c r="B11" s="43" t="str">
        <f>VLOOKUP("&lt;Zeilentitel_1.1&gt;",Uebersetzungen!$B$3:$E$294,Uebersetzungen!$B$2+1,FALSE)</f>
        <v>Bezeichnung</v>
      </c>
      <c r="D11" s="47">
        <v>2022</v>
      </c>
      <c r="E11" s="48">
        <v>2021</v>
      </c>
      <c r="F11" s="50">
        <v>2020</v>
      </c>
      <c r="G11" s="48">
        <v>2019</v>
      </c>
      <c r="H11" s="50">
        <v>2018</v>
      </c>
      <c r="I11" s="48">
        <v>2017</v>
      </c>
      <c r="J11" s="51">
        <v>2016</v>
      </c>
      <c r="K11" s="50">
        <v>2015</v>
      </c>
      <c r="L11" s="48">
        <v>2014</v>
      </c>
      <c r="M11" s="48">
        <v>2013</v>
      </c>
      <c r="N11" s="48">
        <v>2012</v>
      </c>
      <c r="O11" s="51">
        <v>2011</v>
      </c>
      <c r="P11" s="50" t="s">
        <v>353</v>
      </c>
      <c r="Q11" s="49" t="s">
        <v>354</v>
      </c>
      <c r="S11" s="47">
        <v>2022</v>
      </c>
      <c r="T11" s="48">
        <v>2021</v>
      </c>
      <c r="U11" s="50">
        <v>2020</v>
      </c>
      <c r="V11" s="48">
        <v>2019</v>
      </c>
      <c r="W11" s="50">
        <v>2018</v>
      </c>
      <c r="X11" s="48">
        <v>2017</v>
      </c>
      <c r="Y11" s="51" t="s">
        <v>355</v>
      </c>
      <c r="Z11" s="50" t="s">
        <v>356</v>
      </c>
      <c r="AA11" s="48">
        <v>2014</v>
      </c>
      <c r="AB11" s="48">
        <v>2013</v>
      </c>
      <c r="AC11" s="48">
        <v>2012</v>
      </c>
      <c r="AD11" s="51">
        <v>2011</v>
      </c>
      <c r="AE11" s="50" t="s">
        <v>353</v>
      </c>
      <c r="AF11" s="49" t="s">
        <v>354</v>
      </c>
    </row>
    <row r="12" spans="1:32">
      <c r="A12" s="39" t="str">
        <f>VLOOKUP("&lt;Zeilentitel_2&gt;",Uebersetzungen!$B$3:$E$294,Uebersetzungen!$B$2+1,FALSE)</f>
        <v>01 bis 03</v>
      </c>
      <c r="B12" s="8" t="str">
        <f>VLOOKUP("&lt;Zeilentitel_2.1&gt;",Uebersetzungen!$B$3:$E$294,Uebersetzungen!$B$2+1,FALSE)</f>
        <v>Landwirtschaft, Forstwirtschaft und Fischerei</v>
      </c>
      <c r="D12" s="9">
        <v>6952</v>
      </c>
      <c r="E12" s="16">
        <v>6988</v>
      </c>
      <c r="F12" s="16">
        <v>7001</v>
      </c>
      <c r="G12" s="16">
        <v>7164</v>
      </c>
      <c r="H12" s="16">
        <v>7155</v>
      </c>
      <c r="I12" s="16">
        <v>7194</v>
      </c>
      <c r="J12" s="16">
        <v>7121</v>
      </c>
      <c r="K12" s="16">
        <v>7016</v>
      </c>
      <c r="L12" s="16">
        <v>7332</v>
      </c>
      <c r="M12" s="16">
        <v>7284</v>
      </c>
      <c r="N12" s="16">
        <v>7429</v>
      </c>
      <c r="O12" s="16">
        <v>7607</v>
      </c>
      <c r="P12" s="10">
        <v>8885</v>
      </c>
      <c r="Q12" s="11">
        <v>8998</v>
      </c>
      <c r="S12" s="9">
        <v>4501.7891805999998</v>
      </c>
      <c r="T12" s="16">
        <v>4496.08</v>
      </c>
      <c r="U12" s="16">
        <v>4474.0887646000001</v>
      </c>
      <c r="V12" s="16">
        <v>4717.4653025999996</v>
      </c>
      <c r="W12" s="16">
        <v>4733.9737252000004</v>
      </c>
      <c r="X12" s="16">
        <v>4732.5395927999998</v>
      </c>
      <c r="Y12" s="16">
        <v>4632.7961475000002</v>
      </c>
      <c r="Z12" s="16">
        <v>4595.8193019999999</v>
      </c>
      <c r="AA12" s="16">
        <v>4762.4261606</v>
      </c>
      <c r="AB12" s="16">
        <v>4729.2868847</v>
      </c>
      <c r="AC12" s="16">
        <v>4774.4495016000001</v>
      </c>
      <c r="AD12" s="16">
        <v>4826.0130546999999</v>
      </c>
      <c r="AE12" s="10">
        <v>5318.5829469999999</v>
      </c>
      <c r="AF12" s="11">
        <v>5336.2510769999999</v>
      </c>
    </row>
    <row r="13" spans="1:32">
      <c r="A13" s="40" t="str">
        <f>VLOOKUP("&lt;Zeilentitel_3&gt;",Uebersetzungen!$B$3:$E$294,Uebersetzungen!$B$2+1,FALSE)</f>
        <v>Primärer Sektor</v>
      </c>
      <c r="B13" s="12"/>
      <c r="D13" s="13">
        <v>6952</v>
      </c>
      <c r="E13" s="45">
        <v>6988</v>
      </c>
      <c r="F13" s="45">
        <v>7001</v>
      </c>
      <c r="G13" s="45">
        <v>7164</v>
      </c>
      <c r="H13" s="45">
        <v>7155</v>
      </c>
      <c r="I13" s="45">
        <v>7194</v>
      </c>
      <c r="J13" s="45">
        <v>7121</v>
      </c>
      <c r="K13" s="45">
        <v>7016</v>
      </c>
      <c r="L13" s="45">
        <v>7332</v>
      </c>
      <c r="M13" s="45">
        <v>7284</v>
      </c>
      <c r="N13" s="45">
        <v>7429</v>
      </c>
      <c r="O13" s="45">
        <v>7607</v>
      </c>
      <c r="P13" s="17">
        <v>8885</v>
      </c>
      <c r="Q13" s="14">
        <v>8998</v>
      </c>
      <c r="S13" s="13">
        <v>4501.7891805999998</v>
      </c>
      <c r="T13" s="45">
        <v>4496.08</v>
      </c>
      <c r="U13" s="45">
        <v>4474.0887646000001</v>
      </c>
      <c r="V13" s="45">
        <v>4717.4653025999996</v>
      </c>
      <c r="W13" s="45">
        <v>4733.9737252000004</v>
      </c>
      <c r="X13" s="45">
        <v>4732.5395927999998</v>
      </c>
      <c r="Y13" s="45">
        <v>4632.7961475000002</v>
      </c>
      <c r="Z13" s="45">
        <v>4595.8193019999999</v>
      </c>
      <c r="AA13" s="45">
        <v>4762.4261606</v>
      </c>
      <c r="AB13" s="45">
        <v>4729.2868847</v>
      </c>
      <c r="AC13" s="45">
        <v>4774.4495016000001</v>
      </c>
      <c r="AD13" s="45">
        <v>4826.0130546999999</v>
      </c>
      <c r="AE13" s="17">
        <v>5318.5829469999999</v>
      </c>
      <c r="AF13" s="14">
        <v>5336.2510769999999</v>
      </c>
    </row>
    <row r="14" spans="1:32">
      <c r="A14" s="39" t="str">
        <f>VLOOKUP("&lt;Zeilentitel_4&gt;",Uebersetzungen!$B$3:$E$294,Uebersetzungen!$B$2+1,FALSE)</f>
        <v>05 bis 09</v>
      </c>
      <c r="B14" s="8" t="str">
        <f>VLOOKUP("&lt;Zeilentitel_4.1&gt;",Uebersetzungen!$B$3:$E$294,Uebersetzungen!$B$2+1,FALSE)</f>
        <v>Bergbau und Gewinnung von Steinen und Erden</v>
      </c>
      <c r="D14" s="9">
        <v>315</v>
      </c>
      <c r="E14" s="16">
        <v>310</v>
      </c>
      <c r="F14" s="16">
        <v>345</v>
      </c>
      <c r="G14" s="16">
        <v>318</v>
      </c>
      <c r="H14" s="16">
        <v>317</v>
      </c>
      <c r="I14" s="16">
        <v>324</v>
      </c>
      <c r="J14" s="16">
        <v>351</v>
      </c>
      <c r="K14" s="16">
        <v>366</v>
      </c>
      <c r="L14" s="16">
        <v>371</v>
      </c>
      <c r="M14" s="16">
        <v>362</v>
      </c>
      <c r="N14" s="16">
        <v>363</v>
      </c>
      <c r="O14" s="16">
        <v>342</v>
      </c>
      <c r="P14" s="10">
        <v>326</v>
      </c>
      <c r="Q14" s="15">
        <v>354</v>
      </c>
      <c r="S14" s="9">
        <v>288.1914056</v>
      </c>
      <c r="T14" s="16">
        <v>278.83999999999997</v>
      </c>
      <c r="U14" s="16">
        <v>313.96521910000001</v>
      </c>
      <c r="V14" s="16">
        <v>277.2317352</v>
      </c>
      <c r="W14" s="16">
        <v>281.61695109999999</v>
      </c>
      <c r="X14" s="16">
        <v>289.83308770000002</v>
      </c>
      <c r="Y14" s="16">
        <v>309.2144806</v>
      </c>
      <c r="Z14" s="16">
        <v>329.7772918</v>
      </c>
      <c r="AA14" s="16">
        <v>334.23470780000002</v>
      </c>
      <c r="AB14" s="16">
        <v>324.34209049999998</v>
      </c>
      <c r="AC14" s="16">
        <v>324.3113017</v>
      </c>
      <c r="AD14" s="16">
        <v>306.07617879999998</v>
      </c>
      <c r="AE14" s="10">
        <v>296.03564740000002</v>
      </c>
      <c r="AF14" s="15">
        <v>325.50360449999999</v>
      </c>
    </row>
    <row r="15" spans="1:32">
      <c r="A15" s="39" t="str">
        <f>VLOOKUP("&lt;Zeilentitel_5&gt;",Uebersetzungen!$B$3:$E$294,Uebersetzungen!$B$2+1,FALSE)</f>
        <v>10 bis 12</v>
      </c>
      <c r="B15" s="8" t="str">
        <f>VLOOKUP("&lt;Zeilentitel_5.1&gt;",Uebersetzungen!$B$3:$E$294,Uebersetzungen!$B$2+1,FALSE)</f>
        <v>Herstellung von Nahrungs- und Genussmitteln, Getränken und Tabakerzeugnissen</v>
      </c>
      <c r="D15" s="9">
        <v>2268</v>
      </c>
      <c r="E15" s="16">
        <v>2302</v>
      </c>
      <c r="F15" s="16">
        <v>2275</v>
      </c>
      <c r="G15" s="16">
        <v>2323</v>
      </c>
      <c r="H15" s="16">
        <v>2298</v>
      </c>
      <c r="I15" s="16">
        <v>2367</v>
      </c>
      <c r="J15" s="16">
        <v>2318</v>
      </c>
      <c r="K15" s="16">
        <v>2324</v>
      </c>
      <c r="L15" s="16">
        <v>2318</v>
      </c>
      <c r="M15" s="16">
        <v>2475</v>
      </c>
      <c r="N15" s="16">
        <v>2217</v>
      </c>
      <c r="O15" s="16">
        <v>2278</v>
      </c>
      <c r="P15" s="10">
        <v>1344</v>
      </c>
      <c r="Q15" s="15">
        <v>1410</v>
      </c>
      <c r="S15" s="9">
        <v>1915.8447028999999</v>
      </c>
      <c r="T15" s="16">
        <v>1878.21</v>
      </c>
      <c r="U15" s="16">
        <v>1898.4442088000001</v>
      </c>
      <c r="V15" s="16">
        <v>1914.5393036</v>
      </c>
      <c r="W15" s="16">
        <v>1908.9718879</v>
      </c>
      <c r="X15" s="16">
        <v>1960.7249112</v>
      </c>
      <c r="Y15" s="16">
        <v>1926.086204</v>
      </c>
      <c r="Z15" s="16">
        <v>1955.2951317</v>
      </c>
      <c r="AA15" s="16">
        <v>1967.9388695</v>
      </c>
      <c r="AB15" s="16">
        <v>2097.7209438</v>
      </c>
      <c r="AC15" s="16">
        <v>1843.4396263000001</v>
      </c>
      <c r="AD15" s="16">
        <v>1909.2366132</v>
      </c>
      <c r="AE15" s="10">
        <v>1159.950756</v>
      </c>
      <c r="AF15" s="15">
        <v>1217.0389680000001</v>
      </c>
    </row>
    <row r="16" spans="1:32">
      <c r="A16" s="39" t="str">
        <f>VLOOKUP("&lt;Zeilentitel_6&gt;",Uebersetzungen!$B$3:$E$294,Uebersetzungen!$B$2+1,FALSE)</f>
        <v>13 bis 15</v>
      </c>
      <c r="B16" s="8" t="str">
        <f>VLOOKUP("&lt;Zeilentitel_6.1&gt;",Uebersetzungen!$B$3:$E$294,Uebersetzungen!$B$2+1,FALSE)</f>
        <v>Herstellung von Textilien, Bekleidung, Leder, Lederwaren und Schuhen</v>
      </c>
      <c r="D16" s="9">
        <v>101</v>
      </c>
      <c r="E16" s="16">
        <v>102</v>
      </c>
      <c r="F16" s="16">
        <v>96</v>
      </c>
      <c r="G16" s="16">
        <v>89</v>
      </c>
      <c r="H16" s="16">
        <v>82</v>
      </c>
      <c r="I16" s="16">
        <v>79</v>
      </c>
      <c r="J16" s="16">
        <v>96</v>
      </c>
      <c r="K16" s="16">
        <v>95</v>
      </c>
      <c r="L16" s="16">
        <v>98</v>
      </c>
      <c r="M16" s="16">
        <v>90</v>
      </c>
      <c r="N16" s="16">
        <v>100</v>
      </c>
      <c r="O16" s="16">
        <v>110</v>
      </c>
      <c r="P16" s="10">
        <v>166</v>
      </c>
      <c r="Q16" s="15">
        <v>171</v>
      </c>
      <c r="S16" s="9">
        <v>54.488130300000002</v>
      </c>
      <c r="T16" s="16">
        <v>54.98</v>
      </c>
      <c r="U16" s="16">
        <v>50.814144400000004</v>
      </c>
      <c r="V16" s="16">
        <v>46.6231899</v>
      </c>
      <c r="W16" s="16">
        <v>48.630127999999999</v>
      </c>
      <c r="X16" s="16">
        <v>46.882385399999997</v>
      </c>
      <c r="Y16" s="16">
        <v>55.432635900000001</v>
      </c>
      <c r="Z16" s="16">
        <v>57.786360199999997</v>
      </c>
      <c r="AA16" s="16">
        <v>59.052767899999999</v>
      </c>
      <c r="AB16" s="16">
        <v>54.459577799999998</v>
      </c>
      <c r="AC16" s="16">
        <v>57.863440400000002</v>
      </c>
      <c r="AD16" s="16">
        <v>62.5259827</v>
      </c>
      <c r="AE16" s="10">
        <v>104.36011360000001</v>
      </c>
      <c r="AF16" s="15">
        <v>105.14850199999999</v>
      </c>
    </row>
    <row r="17" spans="1:32">
      <c r="A17" s="39" t="str">
        <f>VLOOKUP("&lt;Zeilentitel_7&gt;",Uebersetzungen!$B$3:$E$294,Uebersetzungen!$B$2+1,FALSE)</f>
        <v>16 bis 18</v>
      </c>
      <c r="B17" s="8" t="str">
        <f>VLOOKUP("&lt;Zeilentitel_7.1&gt;",Uebersetzungen!$B$3:$E$294,Uebersetzungen!$B$2+1,FALSE)</f>
        <v>Herstellung von Holzwaren, Papier, Pappe und Waren daraus, Herstellung von Druckerzeugnissen</v>
      </c>
      <c r="D17" s="9">
        <v>2136</v>
      </c>
      <c r="E17" s="16">
        <v>2147</v>
      </c>
      <c r="F17" s="16">
        <v>2068</v>
      </c>
      <c r="G17" s="16">
        <v>2044</v>
      </c>
      <c r="H17" s="16">
        <v>2031</v>
      </c>
      <c r="I17" s="16">
        <v>2077</v>
      </c>
      <c r="J17" s="16">
        <v>2074</v>
      </c>
      <c r="K17" s="16">
        <v>2088</v>
      </c>
      <c r="L17" s="16">
        <v>2077</v>
      </c>
      <c r="M17" s="16">
        <v>2087</v>
      </c>
      <c r="N17" s="16">
        <v>2085</v>
      </c>
      <c r="O17" s="16">
        <v>2080</v>
      </c>
      <c r="P17" s="10">
        <v>2116</v>
      </c>
      <c r="Q17" s="15">
        <v>2233</v>
      </c>
      <c r="S17" s="9">
        <v>1874.8144001000001</v>
      </c>
      <c r="T17" s="16">
        <v>1863.12</v>
      </c>
      <c r="U17" s="16">
        <v>1828.8820321999999</v>
      </c>
      <c r="V17" s="16">
        <v>1789.1984785</v>
      </c>
      <c r="W17" s="16">
        <v>1782.8543196000001</v>
      </c>
      <c r="X17" s="16">
        <v>1815.6078705</v>
      </c>
      <c r="Y17" s="16">
        <v>1791.3545125999999</v>
      </c>
      <c r="Z17" s="16">
        <v>1820.1165705000001</v>
      </c>
      <c r="AA17" s="16">
        <v>1822.5441857999999</v>
      </c>
      <c r="AB17" s="16">
        <v>1837.4996882999999</v>
      </c>
      <c r="AC17" s="16">
        <v>1839.0357894000001</v>
      </c>
      <c r="AD17" s="16">
        <v>1837.7231475000001</v>
      </c>
      <c r="AE17" s="10">
        <v>1899.9088139999999</v>
      </c>
      <c r="AF17" s="15">
        <v>2008.0289780000001</v>
      </c>
    </row>
    <row r="18" spans="1:32">
      <c r="A18" s="39" t="str">
        <f>VLOOKUP("&lt;Zeilentitel_8&gt;",Uebersetzungen!$B$3:$E$294,Uebersetzungen!$B$2+1,FALSE)</f>
        <v>19 + 20</v>
      </c>
      <c r="B18" s="8" t="str">
        <f>VLOOKUP("&lt;Zeilentitel_8.1&gt;",Uebersetzungen!$B$3:$E$294,Uebersetzungen!$B$2+1,FALSE)</f>
        <v>Kokerei, Mineralölverarbeitung und Herstellung von chemischen Erzeugnissen</v>
      </c>
      <c r="D18" s="9">
        <v>1048</v>
      </c>
      <c r="E18" s="16">
        <v>1043</v>
      </c>
      <c r="F18" s="16">
        <v>949</v>
      </c>
      <c r="G18" s="16">
        <v>995</v>
      </c>
      <c r="H18" s="16">
        <v>1063</v>
      </c>
      <c r="I18" s="16">
        <v>1049</v>
      </c>
      <c r="J18" s="16">
        <v>1076</v>
      </c>
      <c r="K18" s="16">
        <v>1045</v>
      </c>
      <c r="L18" s="16">
        <v>1062</v>
      </c>
      <c r="M18" s="16">
        <v>1066</v>
      </c>
      <c r="N18" s="16">
        <v>1046</v>
      </c>
      <c r="O18" s="16">
        <v>1068</v>
      </c>
      <c r="P18" s="10">
        <v>1215</v>
      </c>
      <c r="Q18" s="15">
        <v>1251</v>
      </c>
      <c r="S18" s="9">
        <v>989.82878700000003</v>
      </c>
      <c r="T18" s="16">
        <v>980.16</v>
      </c>
      <c r="U18" s="16">
        <v>889.95103029999996</v>
      </c>
      <c r="V18" s="16">
        <v>934.08999159999996</v>
      </c>
      <c r="W18" s="16">
        <v>1000.0258877</v>
      </c>
      <c r="X18" s="16">
        <v>987.70316349999996</v>
      </c>
      <c r="Y18" s="16">
        <v>1011.9092252</v>
      </c>
      <c r="Z18" s="16">
        <v>988.61927490000005</v>
      </c>
      <c r="AA18" s="16">
        <v>996.41005489999998</v>
      </c>
      <c r="AB18" s="16">
        <v>1008.5015143000001</v>
      </c>
      <c r="AC18" s="16">
        <v>977.76882680000006</v>
      </c>
      <c r="AD18" s="16">
        <v>994.56111190000001</v>
      </c>
      <c r="AE18" s="10">
        <v>1135.6682989999999</v>
      </c>
      <c r="AF18" s="15">
        <v>1176.536096</v>
      </c>
    </row>
    <row r="19" spans="1:32">
      <c r="A19" s="39">
        <f>VLOOKUP("&lt;Zeilentitel_9&gt;",Uebersetzungen!$B$3:$E$294,Uebersetzungen!$B$2+1,FALSE)</f>
        <v>21</v>
      </c>
      <c r="B19" s="8" t="str">
        <f>VLOOKUP("&lt;Zeilentitel_9.1&gt;",Uebersetzungen!$B$3:$E$294,Uebersetzungen!$B$2+1,FALSE)</f>
        <v>Herstellung von pharmazeutischen Erzeugnissen</v>
      </c>
      <c r="D19" s="9">
        <v>232</v>
      </c>
      <c r="E19" s="16">
        <v>225</v>
      </c>
      <c r="F19" s="16">
        <v>223</v>
      </c>
      <c r="G19" s="16">
        <v>213</v>
      </c>
      <c r="H19" s="16">
        <v>215</v>
      </c>
      <c r="I19" s="16">
        <v>223</v>
      </c>
      <c r="J19" s="16">
        <v>229</v>
      </c>
      <c r="K19" s="16">
        <v>211</v>
      </c>
      <c r="L19" s="16">
        <v>191</v>
      </c>
      <c r="M19" s="16">
        <v>183</v>
      </c>
      <c r="N19" s="16">
        <v>197</v>
      </c>
      <c r="O19" s="16">
        <v>149</v>
      </c>
      <c r="P19" s="10">
        <v>96</v>
      </c>
      <c r="Q19" s="15">
        <v>57</v>
      </c>
      <c r="S19" s="9">
        <v>221.59431000000001</v>
      </c>
      <c r="T19" s="16">
        <v>211.02</v>
      </c>
      <c r="U19" s="16">
        <v>211.6776572</v>
      </c>
      <c r="V19" s="16">
        <v>199.215203</v>
      </c>
      <c r="W19" s="16">
        <v>201.77679000000001</v>
      </c>
      <c r="X19" s="16">
        <v>155.5214216</v>
      </c>
      <c r="Y19" s="16">
        <v>211.4010542</v>
      </c>
      <c r="Z19" s="16">
        <v>198.89551280000001</v>
      </c>
      <c r="AA19" s="16">
        <v>134.73600999999999</v>
      </c>
      <c r="AB19" s="16">
        <v>164.4553621</v>
      </c>
      <c r="AC19" s="16">
        <v>180.0589258</v>
      </c>
      <c r="AD19" s="16">
        <v>109.84659069999999</v>
      </c>
      <c r="AE19" s="10">
        <v>85.913512010000005</v>
      </c>
      <c r="AF19" s="15">
        <v>48.617947139999998</v>
      </c>
    </row>
    <row r="20" spans="1:32">
      <c r="A20" s="39" t="str">
        <f>VLOOKUP("&lt;Zeilentitel_10&gt;",Uebersetzungen!$B$3:$E$294,Uebersetzungen!$B$2+1,FALSE)</f>
        <v>22 + 23</v>
      </c>
      <c r="B20" s="8" t="str">
        <f>VLOOKUP("&lt;Zeilentitel_10.1&gt;",Uebersetzungen!$B$3:$E$294,Uebersetzungen!$B$2+1,FALSE)</f>
        <v>Herstellung von Gummi- und Kunststoffwaren sowie von Glas und Glaswaren, Keramik, Verarbeitung von Steinen und Erden</v>
      </c>
      <c r="D20" s="9">
        <v>511</v>
      </c>
      <c r="E20" s="16">
        <v>513</v>
      </c>
      <c r="F20" s="16">
        <v>509</v>
      </c>
      <c r="G20" s="16">
        <v>512</v>
      </c>
      <c r="H20" s="16">
        <v>523</v>
      </c>
      <c r="I20" s="16">
        <v>501</v>
      </c>
      <c r="J20" s="16">
        <v>531</v>
      </c>
      <c r="K20" s="16">
        <v>502</v>
      </c>
      <c r="L20" s="16">
        <v>528</v>
      </c>
      <c r="M20" s="16">
        <v>575</v>
      </c>
      <c r="N20" s="16">
        <v>586</v>
      </c>
      <c r="O20" s="16">
        <v>577</v>
      </c>
      <c r="P20" s="10">
        <v>595</v>
      </c>
      <c r="Q20" s="15">
        <v>563</v>
      </c>
      <c r="S20" s="9">
        <v>459.21447339999997</v>
      </c>
      <c r="T20" s="16">
        <v>459.89</v>
      </c>
      <c r="U20" s="16">
        <v>455.0731371</v>
      </c>
      <c r="V20" s="16">
        <v>459.38545010000001</v>
      </c>
      <c r="W20" s="16">
        <v>473.51778139999999</v>
      </c>
      <c r="X20" s="16">
        <v>457.02960830000001</v>
      </c>
      <c r="Y20" s="16">
        <v>479.8503068</v>
      </c>
      <c r="Z20" s="16">
        <v>454.23656560000001</v>
      </c>
      <c r="AA20" s="16">
        <v>474.73255549999999</v>
      </c>
      <c r="AB20" s="16">
        <v>513.90658759999997</v>
      </c>
      <c r="AC20" s="16">
        <v>525.57227150000006</v>
      </c>
      <c r="AD20" s="16">
        <v>519.22583380000003</v>
      </c>
      <c r="AE20" s="10">
        <v>551.18407909999996</v>
      </c>
      <c r="AF20" s="15">
        <v>518.08070369999996</v>
      </c>
    </row>
    <row r="21" spans="1:32">
      <c r="A21" s="39" t="str">
        <f>VLOOKUP("&lt;Zeilentitel_11&gt;",Uebersetzungen!$B$3:$E$294,Uebersetzungen!$B$2+1,FALSE)</f>
        <v>24 + 25</v>
      </c>
      <c r="B21" s="8" t="str">
        <f>VLOOKUP("&lt;Zeilentitel_11.1&gt;",Uebersetzungen!$B$3:$E$294,Uebersetzungen!$B$2+1,FALSE)</f>
        <v>Metallerzeugung und -bearbeitung, Herstellung von Metallerzeugnissen</v>
      </c>
      <c r="D21" s="9">
        <v>1219</v>
      </c>
      <c r="E21" s="16">
        <v>1182</v>
      </c>
      <c r="F21" s="16">
        <v>1172</v>
      </c>
      <c r="G21" s="16">
        <v>1198</v>
      </c>
      <c r="H21" s="16">
        <v>1199</v>
      </c>
      <c r="I21" s="16">
        <v>1179</v>
      </c>
      <c r="J21" s="16">
        <v>1099</v>
      </c>
      <c r="K21" s="16">
        <v>1134</v>
      </c>
      <c r="L21" s="16">
        <v>1168</v>
      </c>
      <c r="M21" s="16">
        <v>1173</v>
      </c>
      <c r="N21" s="16">
        <v>1169</v>
      </c>
      <c r="O21" s="16">
        <v>1151</v>
      </c>
      <c r="P21" s="10">
        <v>1156</v>
      </c>
      <c r="Q21" s="15">
        <v>1125</v>
      </c>
      <c r="S21" s="9">
        <v>1093.3488826</v>
      </c>
      <c r="T21" s="16">
        <v>1060.57</v>
      </c>
      <c r="U21" s="16">
        <v>1055.4702102000001</v>
      </c>
      <c r="V21" s="16">
        <v>1078.8197061000001</v>
      </c>
      <c r="W21" s="16">
        <v>1079.9475143</v>
      </c>
      <c r="X21" s="16">
        <v>1058.3994353999999</v>
      </c>
      <c r="Y21" s="16">
        <v>975.32513359999996</v>
      </c>
      <c r="Z21" s="16">
        <v>1019.5834012</v>
      </c>
      <c r="AA21" s="16">
        <v>1045.1017933000001</v>
      </c>
      <c r="AB21" s="16">
        <v>1044.4023540999999</v>
      </c>
      <c r="AC21" s="16">
        <v>1050.5920369999999</v>
      </c>
      <c r="AD21" s="16">
        <v>1038.7686424000001</v>
      </c>
      <c r="AE21" s="10">
        <v>1060.809749</v>
      </c>
      <c r="AF21" s="15">
        <v>1020.004153</v>
      </c>
    </row>
    <row r="22" spans="1:32">
      <c r="A22" s="39">
        <f>VLOOKUP("&lt;Zeilentitel_12&gt;",Uebersetzungen!$B$3:$E$294,Uebersetzungen!$B$2+1,FALSE)</f>
        <v>26</v>
      </c>
      <c r="B22" s="8" t="str">
        <f>VLOOKUP("&lt;Zeilentitel_12.1&gt;",Uebersetzungen!$B$3:$E$294,Uebersetzungen!$B$2+1,FALSE)</f>
        <v>Herstellung von Datenverarbeitungsgeräten, elektronischen, optischen Erzeugnissen und Uhren</v>
      </c>
      <c r="D22" s="9">
        <v>1645</v>
      </c>
      <c r="E22" s="16">
        <v>1875</v>
      </c>
      <c r="F22" s="16">
        <v>1825</v>
      </c>
      <c r="G22" s="16">
        <v>1597</v>
      </c>
      <c r="H22" s="16">
        <v>1493</v>
      </c>
      <c r="I22" s="16">
        <v>1274</v>
      </c>
      <c r="J22" s="16">
        <v>1190</v>
      </c>
      <c r="K22" s="16">
        <v>1143</v>
      </c>
      <c r="L22" s="16">
        <v>1178</v>
      </c>
      <c r="M22" s="16">
        <v>1166</v>
      </c>
      <c r="N22" s="16">
        <v>1125</v>
      </c>
      <c r="O22" s="16">
        <v>1137</v>
      </c>
      <c r="P22" s="10">
        <v>919</v>
      </c>
      <c r="Q22" s="15">
        <v>765</v>
      </c>
      <c r="S22" s="9">
        <v>1545.2613343999999</v>
      </c>
      <c r="T22" s="16">
        <v>1765.31</v>
      </c>
      <c r="U22" s="16">
        <v>1705.8947576999999</v>
      </c>
      <c r="V22" s="16">
        <v>1496.9421961</v>
      </c>
      <c r="W22" s="16">
        <v>1391.9270403999999</v>
      </c>
      <c r="X22" s="16">
        <v>1202.4153179</v>
      </c>
      <c r="Y22" s="16">
        <v>1122.2218109</v>
      </c>
      <c r="Z22" s="16">
        <v>1070.5198981000001</v>
      </c>
      <c r="AA22" s="16">
        <v>1098.8511430999999</v>
      </c>
      <c r="AB22" s="16">
        <v>1091.1955149999999</v>
      </c>
      <c r="AC22" s="16">
        <v>1052.7112695999999</v>
      </c>
      <c r="AD22" s="16">
        <v>1052.9852289999999</v>
      </c>
      <c r="AE22" s="10">
        <v>854.24082550000003</v>
      </c>
      <c r="AF22" s="15">
        <v>708.43273139999997</v>
      </c>
    </row>
    <row r="23" spans="1:32">
      <c r="A23" s="39">
        <f>VLOOKUP("&lt;Zeilentitel_13&gt;",Uebersetzungen!$B$3:$E$294,Uebersetzungen!$B$2+1,FALSE)</f>
        <v>27</v>
      </c>
      <c r="B23" s="8" t="str">
        <f>VLOOKUP("&lt;Zeilentitel_13.1&gt;",Uebersetzungen!$B$3:$E$294,Uebersetzungen!$B$2+1,FALSE)</f>
        <v>Herstellung von elektrischen Ausrüstungen</v>
      </c>
      <c r="D23" s="9">
        <v>185</v>
      </c>
      <c r="E23" s="16">
        <v>189</v>
      </c>
      <c r="F23" s="16">
        <v>207</v>
      </c>
      <c r="G23" s="16">
        <v>207</v>
      </c>
      <c r="H23" s="16">
        <v>191</v>
      </c>
      <c r="I23" s="16">
        <v>201</v>
      </c>
      <c r="J23" s="16">
        <v>192</v>
      </c>
      <c r="K23" s="16">
        <v>192</v>
      </c>
      <c r="L23" s="16">
        <v>190</v>
      </c>
      <c r="M23" s="16">
        <v>191</v>
      </c>
      <c r="N23" s="16">
        <v>197</v>
      </c>
      <c r="O23" s="16">
        <v>198</v>
      </c>
      <c r="P23" s="10">
        <v>228</v>
      </c>
      <c r="Q23" s="15">
        <v>234</v>
      </c>
      <c r="S23" s="9">
        <v>164.75045180000001</v>
      </c>
      <c r="T23" s="16">
        <v>166.88</v>
      </c>
      <c r="U23" s="16">
        <v>173.8829815</v>
      </c>
      <c r="V23" s="16">
        <v>177.8043821</v>
      </c>
      <c r="W23" s="16">
        <v>166.758858</v>
      </c>
      <c r="X23" s="16">
        <v>181.06461970000001</v>
      </c>
      <c r="Y23" s="16">
        <v>169.19673130000001</v>
      </c>
      <c r="Z23" s="16">
        <v>168.8252425</v>
      </c>
      <c r="AA23" s="16">
        <v>167.74917959999999</v>
      </c>
      <c r="AB23" s="16">
        <v>166.0486138</v>
      </c>
      <c r="AC23" s="16">
        <v>171.75681689999999</v>
      </c>
      <c r="AD23" s="16">
        <v>172.85491759999999</v>
      </c>
      <c r="AE23" s="10">
        <v>207.87723070000001</v>
      </c>
      <c r="AF23" s="15">
        <v>205.3990756</v>
      </c>
    </row>
    <row r="24" spans="1:32">
      <c r="A24" s="39">
        <f>VLOOKUP("&lt;Zeilentitel_14&gt;",Uebersetzungen!$B$3:$E$294,Uebersetzungen!$B$2+1,FALSE)</f>
        <v>28</v>
      </c>
      <c r="B24" s="8" t="str">
        <f>VLOOKUP("&lt;Zeilentitel_14.1&gt;",Uebersetzungen!$B$3:$E$294,Uebersetzungen!$B$2+1,FALSE)</f>
        <v>Maschinenbau</v>
      </c>
      <c r="D24" s="9">
        <v>1631</v>
      </c>
      <c r="E24" s="16">
        <v>1528</v>
      </c>
      <c r="F24" s="16">
        <v>1436</v>
      </c>
      <c r="G24" s="16">
        <v>1440</v>
      </c>
      <c r="H24" s="16">
        <v>1446</v>
      </c>
      <c r="I24" s="16">
        <v>1420</v>
      </c>
      <c r="J24" s="16">
        <v>1350</v>
      </c>
      <c r="K24" s="16">
        <v>1346</v>
      </c>
      <c r="L24" s="16">
        <v>1370</v>
      </c>
      <c r="M24" s="16">
        <v>1313</v>
      </c>
      <c r="N24" s="16">
        <v>1336</v>
      </c>
      <c r="O24" s="16">
        <v>1373</v>
      </c>
      <c r="P24" s="10">
        <v>1436</v>
      </c>
      <c r="Q24" s="15">
        <v>1268</v>
      </c>
      <c r="S24" s="9">
        <v>1556.8447968</v>
      </c>
      <c r="T24" s="16">
        <v>1454.19</v>
      </c>
      <c r="U24" s="16">
        <v>1365.8491418999999</v>
      </c>
      <c r="V24" s="16">
        <v>1363.3748026000001</v>
      </c>
      <c r="W24" s="16">
        <v>1364.1558437000001</v>
      </c>
      <c r="X24" s="16">
        <v>1322.8555693999999</v>
      </c>
      <c r="Y24" s="16">
        <v>1251.5045215</v>
      </c>
      <c r="Z24" s="16">
        <v>1256.4043033</v>
      </c>
      <c r="AA24" s="16">
        <v>1263.8887491999999</v>
      </c>
      <c r="AB24" s="16">
        <v>1221.016844</v>
      </c>
      <c r="AC24" s="16">
        <v>1246.6016990999999</v>
      </c>
      <c r="AD24" s="16">
        <v>1282.2342140000001</v>
      </c>
      <c r="AE24" s="10">
        <v>1370.8093799999999</v>
      </c>
      <c r="AF24" s="15">
        <v>1199.9566030000001</v>
      </c>
    </row>
    <row r="25" spans="1:32">
      <c r="A25" s="39" t="str">
        <f>VLOOKUP("&lt;Zeilentitel_15&gt;",Uebersetzungen!$B$3:$E$294,Uebersetzungen!$B$2+1,FALSE)</f>
        <v>29 + 30</v>
      </c>
      <c r="B25" s="8" t="str">
        <f>VLOOKUP("&lt;Zeilentitel_15.1&gt;",Uebersetzungen!$B$3:$E$294,Uebersetzungen!$B$2+1,FALSE)</f>
        <v>Fahrzeugbau</v>
      </c>
      <c r="D25" s="9">
        <v>49</v>
      </c>
      <c r="E25" s="16">
        <v>38</v>
      </c>
      <c r="F25" s="16">
        <v>40</v>
      </c>
      <c r="G25" s="16">
        <v>37</v>
      </c>
      <c r="H25" s="16">
        <v>33</v>
      </c>
      <c r="I25" s="16">
        <v>33</v>
      </c>
      <c r="J25" s="16">
        <v>36</v>
      </c>
      <c r="K25" s="16">
        <v>30</v>
      </c>
      <c r="L25" s="16">
        <v>32</v>
      </c>
      <c r="M25" s="16">
        <v>29</v>
      </c>
      <c r="N25" s="16">
        <v>32</v>
      </c>
      <c r="O25" s="16">
        <v>32</v>
      </c>
      <c r="P25" s="10">
        <v>65</v>
      </c>
      <c r="Q25" s="15">
        <v>175</v>
      </c>
      <c r="S25" s="9">
        <v>42.2427256</v>
      </c>
      <c r="T25" s="16">
        <v>33.74</v>
      </c>
      <c r="U25" s="16">
        <v>37.1255995</v>
      </c>
      <c r="V25" s="16">
        <v>34.795972300000003</v>
      </c>
      <c r="W25" s="16">
        <v>31.288302099999999</v>
      </c>
      <c r="X25" s="16">
        <v>31.448774</v>
      </c>
      <c r="Y25" s="16">
        <v>32.311504200000002</v>
      </c>
      <c r="Z25" s="16">
        <v>26.8537684</v>
      </c>
      <c r="AA25" s="16">
        <v>29.359018800000001</v>
      </c>
      <c r="AB25" s="16">
        <v>26.155864300000001</v>
      </c>
      <c r="AC25" s="16">
        <v>28.3771305</v>
      </c>
      <c r="AD25" s="16">
        <v>28.752833899999999</v>
      </c>
      <c r="AE25" s="10">
        <v>62.353207099999999</v>
      </c>
      <c r="AF25" s="15">
        <v>170.92498449999999</v>
      </c>
    </row>
    <row r="26" spans="1:32">
      <c r="A26" s="39" t="str">
        <f>VLOOKUP("&lt;Zeilentitel_16&gt;",Uebersetzungen!$B$3:$E$294,Uebersetzungen!$B$2+1,FALSE)</f>
        <v>31 bis 33</v>
      </c>
      <c r="B26" s="8" t="str">
        <f>VLOOKUP("&lt;Zeilentitel_16.1&gt;",Uebersetzungen!$B$3:$E$294,Uebersetzungen!$B$2+1,FALSE)</f>
        <v>Sonstige Herstellung von Waren, Reparatur und Installation von Maschinen und Ausrüstungen</v>
      </c>
      <c r="D26" s="9">
        <v>1472</v>
      </c>
      <c r="E26" s="16">
        <v>1424</v>
      </c>
      <c r="F26" s="16">
        <v>1399</v>
      </c>
      <c r="G26" s="16">
        <v>1338</v>
      </c>
      <c r="H26" s="16">
        <v>1302</v>
      </c>
      <c r="I26" s="16">
        <v>1283</v>
      </c>
      <c r="J26" s="16">
        <v>1297</v>
      </c>
      <c r="K26" s="16">
        <v>1298</v>
      </c>
      <c r="L26" s="16">
        <v>1272</v>
      </c>
      <c r="M26" s="16">
        <v>1254</v>
      </c>
      <c r="N26" s="16">
        <v>1222</v>
      </c>
      <c r="O26" s="16">
        <v>1212</v>
      </c>
      <c r="P26" s="10">
        <v>1173</v>
      </c>
      <c r="Q26" s="15">
        <v>1198</v>
      </c>
      <c r="S26" s="9">
        <v>1315.7822020000001</v>
      </c>
      <c r="T26" s="16">
        <v>1262.24</v>
      </c>
      <c r="U26" s="16">
        <v>1254.6647098000001</v>
      </c>
      <c r="V26" s="16">
        <v>1187.4034572</v>
      </c>
      <c r="W26" s="16">
        <v>1156.606528</v>
      </c>
      <c r="X26" s="16">
        <v>1139.1219702999999</v>
      </c>
      <c r="Y26" s="16">
        <v>1142.8660964000001</v>
      </c>
      <c r="Z26" s="16">
        <v>1157.3015203</v>
      </c>
      <c r="AA26" s="16">
        <v>1145.7151739999999</v>
      </c>
      <c r="AB26" s="16">
        <v>1123.2792941</v>
      </c>
      <c r="AC26" s="16">
        <v>1098.8206028</v>
      </c>
      <c r="AD26" s="16">
        <v>1074.2616677999999</v>
      </c>
      <c r="AE26" s="10">
        <v>1028.926422</v>
      </c>
      <c r="AF26" s="15">
        <v>1066.7636399999999</v>
      </c>
    </row>
    <row r="27" spans="1:32">
      <c r="A27" s="39">
        <f>VLOOKUP("&lt;Zeilentitel_17&gt;",Uebersetzungen!$B$3:$E$294,Uebersetzungen!$B$2+1,FALSE)</f>
        <v>35</v>
      </c>
      <c r="B27" s="8" t="str">
        <f>VLOOKUP("&lt;Zeilentitel_17.1&gt;",Uebersetzungen!$B$3:$E$294,Uebersetzungen!$B$2+1,FALSE)</f>
        <v>Energieversorgung</v>
      </c>
      <c r="D27" s="9">
        <v>1310</v>
      </c>
      <c r="E27" s="16">
        <v>1281</v>
      </c>
      <c r="F27" s="16">
        <v>1268</v>
      </c>
      <c r="G27" s="16">
        <v>1258</v>
      </c>
      <c r="H27" s="16">
        <v>1256</v>
      </c>
      <c r="I27" s="16">
        <v>1277</v>
      </c>
      <c r="J27" s="16">
        <v>1278</v>
      </c>
      <c r="K27" s="16">
        <v>1260</v>
      </c>
      <c r="L27" s="16">
        <v>1262</v>
      </c>
      <c r="M27" s="16">
        <v>1305</v>
      </c>
      <c r="N27" s="16">
        <v>1323</v>
      </c>
      <c r="O27" s="16">
        <v>1288</v>
      </c>
      <c r="P27" s="10">
        <v>1067</v>
      </c>
      <c r="Q27" s="15">
        <v>1124</v>
      </c>
      <c r="S27" s="9">
        <v>1145.3896133999999</v>
      </c>
      <c r="T27" s="16">
        <v>1108.95</v>
      </c>
      <c r="U27" s="16">
        <v>1101.0837776000001</v>
      </c>
      <c r="V27" s="16">
        <v>1099.2962603000001</v>
      </c>
      <c r="W27" s="16">
        <v>1100.6261537</v>
      </c>
      <c r="X27" s="16">
        <v>1116.6064770999999</v>
      </c>
      <c r="Y27" s="16">
        <v>1107.6532437000001</v>
      </c>
      <c r="Z27" s="16">
        <v>1097.4405443999999</v>
      </c>
      <c r="AA27" s="16">
        <v>1087.7212311000001</v>
      </c>
      <c r="AB27" s="16">
        <v>1131.5103180000001</v>
      </c>
      <c r="AC27" s="16">
        <v>1167.9794637</v>
      </c>
      <c r="AD27" s="16">
        <v>1128.6060276000001</v>
      </c>
      <c r="AE27" s="10">
        <v>923.80519509999999</v>
      </c>
      <c r="AF27" s="15">
        <v>979.44919140000002</v>
      </c>
    </row>
    <row r="28" spans="1:32">
      <c r="A28" s="39" t="str">
        <f>VLOOKUP("&lt;Zeilentitel_18&gt;",Uebersetzungen!$B$3:$E$294,Uebersetzungen!$B$2+1,FALSE)</f>
        <v>36 bis 39</v>
      </c>
      <c r="B28" s="8" t="str">
        <f>VLOOKUP("&lt;Zeilentitel_18.1&gt;",Uebersetzungen!$B$3:$E$294,Uebersetzungen!$B$2+1,FALSE)</f>
        <v xml:space="preserve">Wasserversorgung; Abwasser- und Abfallentsorgung und Beseitigung von Umweltverschmutzungen </v>
      </c>
      <c r="D28" s="9">
        <v>464</v>
      </c>
      <c r="E28" s="16">
        <v>464</v>
      </c>
      <c r="F28" s="16">
        <v>453</v>
      </c>
      <c r="G28" s="16">
        <v>411</v>
      </c>
      <c r="H28" s="16">
        <v>449</v>
      </c>
      <c r="I28" s="16">
        <v>422</v>
      </c>
      <c r="J28" s="16">
        <v>403</v>
      </c>
      <c r="K28" s="16">
        <v>400</v>
      </c>
      <c r="L28" s="16">
        <v>388</v>
      </c>
      <c r="M28" s="16">
        <v>386</v>
      </c>
      <c r="N28" s="16">
        <v>377</v>
      </c>
      <c r="O28" s="16">
        <v>361</v>
      </c>
      <c r="P28" s="10">
        <v>397</v>
      </c>
      <c r="Q28" s="15">
        <v>405</v>
      </c>
      <c r="S28" s="9">
        <v>398.22877210000001</v>
      </c>
      <c r="T28" s="16">
        <v>393.11</v>
      </c>
      <c r="U28" s="16">
        <v>382.64403529999998</v>
      </c>
      <c r="V28" s="16">
        <v>341.21103779999999</v>
      </c>
      <c r="W28" s="16">
        <v>370.70785949999998</v>
      </c>
      <c r="X28" s="16">
        <v>344.24894929999999</v>
      </c>
      <c r="Y28" s="16">
        <v>325.7070458</v>
      </c>
      <c r="Z28" s="16">
        <v>326.12596919999999</v>
      </c>
      <c r="AA28" s="16">
        <v>323.08755869999999</v>
      </c>
      <c r="AB28" s="16">
        <v>322.70503209999998</v>
      </c>
      <c r="AC28" s="16">
        <v>320.90103620000002</v>
      </c>
      <c r="AD28" s="16">
        <v>310.27298839999997</v>
      </c>
      <c r="AE28" s="10">
        <v>335.25920939999997</v>
      </c>
      <c r="AF28" s="15">
        <v>336.28170990000001</v>
      </c>
    </row>
    <row r="29" spans="1:32">
      <c r="A29" s="39" t="str">
        <f>VLOOKUP("&lt;Zeilentitel_19&gt;",Uebersetzungen!$B$3:$E$294,Uebersetzungen!$B$2+1,FALSE)</f>
        <v>41 + 42</v>
      </c>
      <c r="B29" s="8" t="str">
        <f>VLOOKUP("&lt;Zeilentitel_19.1&gt;",Uebersetzungen!$B$3:$E$294,Uebersetzungen!$B$2+1,FALSE)</f>
        <v xml:space="preserve">Hoch- und Tiefbau </v>
      </c>
      <c r="D29" s="9">
        <v>5593</v>
      </c>
      <c r="E29" s="16">
        <v>5368</v>
      </c>
      <c r="F29" s="16">
        <v>5427</v>
      </c>
      <c r="G29" s="16">
        <v>5250</v>
      </c>
      <c r="H29" s="16">
        <v>5359</v>
      </c>
      <c r="I29" s="16">
        <v>5400</v>
      </c>
      <c r="J29" s="16">
        <v>5511</v>
      </c>
      <c r="K29" s="16">
        <v>5404</v>
      </c>
      <c r="L29" s="16">
        <v>5463</v>
      </c>
      <c r="M29" s="16">
        <v>5441</v>
      </c>
      <c r="N29" s="16">
        <v>5729</v>
      </c>
      <c r="O29" s="16">
        <v>5713</v>
      </c>
      <c r="P29" s="10">
        <v>6578</v>
      </c>
      <c r="Q29" s="15">
        <v>6259</v>
      </c>
      <c r="S29" s="9">
        <v>5222.5040073999999</v>
      </c>
      <c r="T29" s="16">
        <v>5036.9399999999996</v>
      </c>
      <c r="U29" s="16">
        <v>5116.1497323000003</v>
      </c>
      <c r="V29" s="16">
        <v>4936.8490631000004</v>
      </c>
      <c r="W29" s="16">
        <v>5051.7371567</v>
      </c>
      <c r="X29" s="16">
        <v>5042.8564853999997</v>
      </c>
      <c r="Y29" s="16">
        <v>5125.0671873000001</v>
      </c>
      <c r="Z29" s="16">
        <v>5026.5216634999997</v>
      </c>
      <c r="AA29" s="16">
        <v>5087.2517850000004</v>
      </c>
      <c r="AB29" s="16">
        <v>5095.3699049999996</v>
      </c>
      <c r="AC29" s="16">
        <v>5363.3469751000002</v>
      </c>
      <c r="AD29" s="16">
        <v>5361.9829160999998</v>
      </c>
      <c r="AE29" s="10">
        <v>6346.2925969999997</v>
      </c>
      <c r="AF29" s="15">
        <v>6024.7563300000002</v>
      </c>
    </row>
    <row r="30" spans="1:32">
      <c r="A30" s="39">
        <f>VLOOKUP("&lt;Zeilentitel_20&gt;",Uebersetzungen!$B$3:$E$294,Uebersetzungen!$B$2+1,FALSE)</f>
        <v>43</v>
      </c>
      <c r="B30" s="8" t="str">
        <f>VLOOKUP("&lt;Zeilentitel_20.1&gt;",Uebersetzungen!$B$3:$E$294,Uebersetzungen!$B$2+1,FALSE)</f>
        <v>Vorbereitende Baustellenarbeiten, Bauinstallation und sonstiges Ausbaugewerbe</v>
      </c>
      <c r="D30" s="9">
        <v>7907</v>
      </c>
      <c r="E30" s="16">
        <v>7810</v>
      </c>
      <c r="F30" s="16">
        <v>7747</v>
      </c>
      <c r="G30" s="16">
        <v>7684</v>
      </c>
      <c r="H30" s="16">
        <v>7762</v>
      </c>
      <c r="I30" s="16">
        <v>7574</v>
      </c>
      <c r="J30" s="16">
        <v>7630</v>
      </c>
      <c r="K30" s="16">
        <v>7701</v>
      </c>
      <c r="L30" s="16">
        <v>7747</v>
      </c>
      <c r="M30" s="16">
        <v>7770</v>
      </c>
      <c r="N30" s="16">
        <v>7649</v>
      </c>
      <c r="O30" s="16">
        <v>7530</v>
      </c>
      <c r="P30" s="16">
        <v>7121</v>
      </c>
      <c r="Q30" s="15">
        <v>6590</v>
      </c>
      <c r="S30" s="9">
        <v>7145.3355160999999</v>
      </c>
      <c r="T30" s="16">
        <v>7092.11</v>
      </c>
      <c r="U30" s="16">
        <v>7070.1589476999998</v>
      </c>
      <c r="V30" s="16">
        <v>6967.0077916</v>
      </c>
      <c r="W30" s="16">
        <v>7035.2607291000004</v>
      </c>
      <c r="X30" s="16">
        <v>6851.2532676000001</v>
      </c>
      <c r="Y30" s="16">
        <v>6876.8154834999996</v>
      </c>
      <c r="Z30" s="16">
        <v>6959.0288349000002</v>
      </c>
      <c r="AA30" s="16">
        <v>6998.7165231999998</v>
      </c>
      <c r="AB30" s="16">
        <v>7053.9279779999997</v>
      </c>
      <c r="AC30" s="16">
        <v>6924.9687807999999</v>
      </c>
      <c r="AD30" s="16">
        <v>6800.0579037999996</v>
      </c>
      <c r="AE30" s="16">
        <v>6607.8414050000001</v>
      </c>
      <c r="AF30" s="15">
        <v>6074.0486950000004</v>
      </c>
    </row>
    <row r="31" spans="1:32">
      <c r="A31" s="40" t="str">
        <f>VLOOKUP("&lt;Zeilentitel_21&gt;",Uebersetzungen!$B$3:$E$294,Uebersetzungen!$B$2+1,FALSE)</f>
        <v>Sekundärer Sektor</v>
      </c>
      <c r="B31" s="12"/>
      <c r="D31" s="13">
        <v>28086</v>
      </c>
      <c r="E31" s="45">
        <v>27801</v>
      </c>
      <c r="F31" s="45">
        <v>27439</v>
      </c>
      <c r="G31" s="45">
        <v>26914</v>
      </c>
      <c r="H31" s="45">
        <v>27019</v>
      </c>
      <c r="I31" s="45">
        <v>26683</v>
      </c>
      <c r="J31" s="45">
        <v>26661</v>
      </c>
      <c r="K31" s="45">
        <v>26539</v>
      </c>
      <c r="L31" s="45">
        <v>26715</v>
      </c>
      <c r="M31" s="45">
        <v>26866</v>
      </c>
      <c r="N31" s="45">
        <v>26753</v>
      </c>
      <c r="O31" s="45">
        <v>26599</v>
      </c>
      <c r="P31" s="17">
        <v>25998</v>
      </c>
      <c r="Q31" s="14">
        <v>25182</v>
      </c>
      <c r="S31" s="13">
        <v>25433.664511500003</v>
      </c>
      <c r="T31" s="45">
        <v>25100.260000000002</v>
      </c>
      <c r="U31" s="45">
        <v>24911.731322599997</v>
      </c>
      <c r="V31" s="45">
        <v>24303.788021100001</v>
      </c>
      <c r="W31" s="45">
        <v>24446.409731200001</v>
      </c>
      <c r="X31" s="45">
        <v>24003.5733143</v>
      </c>
      <c r="Y31" s="45">
        <v>23913.9171775</v>
      </c>
      <c r="Z31" s="45">
        <v>23913.331853300002</v>
      </c>
      <c r="AA31" s="45">
        <v>24037.091307400002</v>
      </c>
      <c r="AB31" s="45">
        <v>24276.497482800001</v>
      </c>
      <c r="AC31" s="45">
        <v>24174.105993600002</v>
      </c>
      <c r="AD31" s="45">
        <v>23989.972799199997</v>
      </c>
      <c r="AE31" s="17">
        <v>24031.236441909998</v>
      </c>
      <c r="AF31" s="14">
        <v>23184.971913140002</v>
      </c>
    </row>
    <row r="32" spans="1:32">
      <c r="A32" s="39">
        <f>VLOOKUP("&lt;Zeilentitel_22&gt;",Uebersetzungen!$B$3:$E$294,Uebersetzungen!$B$2+1,FALSE)</f>
        <v>45</v>
      </c>
      <c r="B32" s="8" t="str">
        <f>VLOOKUP("&lt;Zeilentitel_22.1&gt;",Uebersetzungen!$B$3:$E$294,Uebersetzungen!$B$2+1,FALSE)</f>
        <v>Handel mit Motorfahrzeugen; Instandhaltung und Reparatur von Motorfahrzeugen</v>
      </c>
      <c r="D32" s="9">
        <v>2273</v>
      </c>
      <c r="E32" s="16">
        <v>2242</v>
      </c>
      <c r="F32" s="16">
        <v>2240</v>
      </c>
      <c r="G32" s="16">
        <v>2296</v>
      </c>
      <c r="H32" s="16">
        <v>2244</v>
      </c>
      <c r="I32" s="16">
        <v>2240</v>
      </c>
      <c r="J32" s="16">
        <v>2265</v>
      </c>
      <c r="K32" s="16">
        <v>2267</v>
      </c>
      <c r="L32" s="16">
        <v>2268</v>
      </c>
      <c r="M32" s="16">
        <v>2267</v>
      </c>
      <c r="N32" s="16">
        <v>2305</v>
      </c>
      <c r="O32" s="16">
        <v>2248</v>
      </c>
      <c r="P32" s="16">
        <v>2448</v>
      </c>
      <c r="Q32" s="15">
        <v>2366</v>
      </c>
      <c r="S32" s="9">
        <v>1978.1836774000001</v>
      </c>
      <c r="T32" s="16">
        <v>1939.6</v>
      </c>
      <c r="U32" s="16">
        <v>1961.4487136</v>
      </c>
      <c r="V32" s="16">
        <v>1991.2498648000001</v>
      </c>
      <c r="W32" s="16">
        <v>1967.5473112</v>
      </c>
      <c r="X32" s="16">
        <v>1953.0497734</v>
      </c>
      <c r="Y32" s="16">
        <v>1984.7610586999999</v>
      </c>
      <c r="Z32" s="16">
        <v>1979.6720346</v>
      </c>
      <c r="AA32" s="16">
        <v>1980.5469069999999</v>
      </c>
      <c r="AB32" s="16">
        <v>1981.7597048</v>
      </c>
      <c r="AC32" s="16">
        <v>2010.5208474000001</v>
      </c>
      <c r="AD32" s="16">
        <v>1956.4673465000001</v>
      </c>
      <c r="AE32" s="16">
        <v>2197.7309399999999</v>
      </c>
      <c r="AF32" s="15">
        <v>2127.2662110000001</v>
      </c>
    </row>
    <row r="33" spans="1:32">
      <c r="A33" s="39">
        <f>VLOOKUP("&lt;Zeilentitel_23&gt;",Uebersetzungen!$B$3:$E$294,Uebersetzungen!$B$2+1,FALSE)</f>
        <v>46</v>
      </c>
      <c r="B33" s="8" t="str">
        <f>VLOOKUP("&lt;Zeilentitel_23.1&gt;",Uebersetzungen!$B$3:$E$294,Uebersetzungen!$B$2+1,FALSE)</f>
        <v>Grosshandel (ohne Handel mit Motorfahrzeugen)</v>
      </c>
      <c r="D33" s="9">
        <v>3121</v>
      </c>
      <c r="E33" s="16">
        <v>3065</v>
      </c>
      <c r="F33" s="16">
        <v>3060</v>
      </c>
      <c r="G33" s="16">
        <v>3141</v>
      </c>
      <c r="H33" s="16">
        <v>3058</v>
      </c>
      <c r="I33" s="16">
        <v>3023</v>
      </c>
      <c r="J33" s="16">
        <v>3067</v>
      </c>
      <c r="K33" s="16">
        <v>3016</v>
      </c>
      <c r="L33" s="16">
        <v>2978</v>
      </c>
      <c r="M33" s="16">
        <v>2936</v>
      </c>
      <c r="N33" s="16">
        <v>2926</v>
      </c>
      <c r="O33" s="16">
        <v>2881</v>
      </c>
      <c r="P33" s="10">
        <v>2829</v>
      </c>
      <c r="Q33" s="15">
        <v>2606</v>
      </c>
      <c r="S33" s="9">
        <v>2645.8202249000001</v>
      </c>
      <c r="T33" s="16">
        <v>2581.42</v>
      </c>
      <c r="U33" s="16">
        <v>2619.9147644</v>
      </c>
      <c r="V33" s="16">
        <v>2657.8265139</v>
      </c>
      <c r="W33" s="16">
        <v>2605.7338260000001</v>
      </c>
      <c r="X33" s="16">
        <v>2559.7427188000001</v>
      </c>
      <c r="Y33" s="16">
        <v>2617.2936786</v>
      </c>
      <c r="Z33" s="16">
        <v>2547.1438093000002</v>
      </c>
      <c r="AA33" s="16">
        <v>2538.5874736999999</v>
      </c>
      <c r="AB33" s="16">
        <v>2505.0588603000001</v>
      </c>
      <c r="AC33" s="16">
        <v>2474.6078954999998</v>
      </c>
      <c r="AD33" s="16">
        <v>2453.7419734999999</v>
      </c>
      <c r="AE33" s="10">
        <v>2377.6391279999998</v>
      </c>
      <c r="AF33" s="15">
        <v>2193.7940319999998</v>
      </c>
    </row>
    <row r="34" spans="1:32">
      <c r="A34" s="39">
        <f>VLOOKUP("&lt;Zeilentitel_24&gt;",Uebersetzungen!$B$3:$E$294,Uebersetzungen!$B$2+1,FALSE)</f>
        <v>47</v>
      </c>
      <c r="B34" s="8" t="str">
        <f>VLOOKUP("&lt;Zeilentitel_24.1&gt;",Uebersetzungen!$B$3:$E$294,Uebersetzungen!$B$2+1,FALSE)</f>
        <v>Detailhandel (ohne Handel mit Motorfahrzeugen)</v>
      </c>
      <c r="D34" s="9">
        <v>9208</v>
      </c>
      <c r="E34" s="16">
        <v>9192</v>
      </c>
      <c r="F34" s="16">
        <v>9071</v>
      </c>
      <c r="G34" s="16">
        <v>9075</v>
      </c>
      <c r="H34" s="16">
        <v>8955</v>
      </c>
      <c r="I34" s="16">
        <v>9003</v>
      </c>
      <c r="J34" s="16">
        <v>9082</v>
      </c>
      <c r="K34" s="16">
        <v>9245</v>
      </c>
      <c r="L34" s="16">
        <v>9422</v>
      </c>
      <c r="M34" s="16">
        <v>9403</v>
      </c>
      <c r="N34" s="16">
        <v>9362</v>
      </c>
      <c r="O34" s="16">
        <v>9333</v>
      </c>
      <c r="P34" s="10">
        <v>10375</v>
      </c>
      <c r="Q34" s="15">
        <v>10027</v>
      </c>
      <c r="S34" s="9">
        <v>6741.3797033999999</v>
      </c>
      <c r="T34" s="16">
        <v>6711.48</v>
      </c>
      <c r="U34" s="16">
        <v>6652.4821504000001</v>
      </c>
      <c r="V34" s="16">
        <v>6614.5807531</v>
      </c>
      <c r="W34" s="16">
        <v>6576.3520080999997</v>
      </c>
      <c r="X34" s="16">
        <v>6619.8652005000004</v>
      </c>
      <c r="Y34" s="16">
        <v>6756.2271042000002</v>
      </c>
      <c r="Z34" s="16">
        <v>6858.5470341</v>
      </c>
      <c r="AA34" s="16">
        <v>7012.1665769000001</v>
      </c>
      <c r="AB34" s="16">
        <v>7006.3563898000002</v>
      </c>
      <c r="AC34" s="16">
        <v>6891.6117043000004</v>
      </c>
      <c r="AD34" s="16">
        <v>6864.3930295999999</v>
      </c>
      <c r="AE34" s="10">
        <v>7914.2923490000003</v>
      </c>
      <c r="AF34" s="15">
        <v>7680.6554569999998</v>
      </c>
    </row>
    <row r="35" spans="1:32">
      <c r="A35" s="39">
        <f>VLOOKUP("&lt;Zeilentitel_25&gt;",Uebersetzungen!$B$3:$E$294,Uebersetzungen!$B$2+1,FALSE)</f>
        <v>49</v>
      </c>
      <c r="B35" s="8" t="str">
        <f>VLOOKUP("&lt;Zeilentitel_25.1&gt;",Uebersetzungen!$B$3:$E$294,Uebersetzungen!$B$2+1,FALSE)</f>
        <v>Landverkehr und Transport in Rohrfernleitungen</v>
      </c>
      <c r="D35" s="9">
        <v>5774</v>
      </c>
      <c r="E35" s="16">
        <v>5454</v>
      </c>
      <c r="F35" s="16">
        <v>5537</v>
      </c>
      <c r="G35" s="16">
        <v>5487</v>
      </c>
      <c r="H35" s="16">
        <v>5522</v>
      </c>
      <c r="I35" s="16">
        <v>5262</v>
      </c>
      <c r="J35" s="16">
        <v>5100</v>
      </c>
      <c r="K35" s="16">
        <v>5116</v>
      </c>
      <c r="L35" s="16">
        <v>5285</v>
      </c>
      <c r="M35" s="16">
        <v>5400</v>
      </c>
      <c r="N35" s="16">
        <v>5261</v>
      </c>
      <c r="O35" s="16">
        <v>5111</v>
      </c>
      <c r="P35" s="10">
        <v>4082</v>
      </c>
      <c r="Q35" s="15">
        <v>3913</v>
      </c>
      <c r="S35" s="9">
        <v>4796.7936348000003</v>
      </c>
      <c r="T35" s="16">
        <v>4688.75</v>
      </c>
      <c r="U35" s="16">
        <v>4762.8643486999999</v>
      </c>
      <c r="V35" s="16">
        <v>4619.2659567999999</v>
      </c>
      <c r="W35" s="16">
        <v>4642.4137324000003</v>
      </c>
      <c r="X35" s="16">
        <v>4444.9548166000004</v>
      </c>
      <c r="Y35" s="16">
        <v>4305.5806787000001</v>
      </c>
      <c r="Z35" s="16">
        <v>4255.3084626999998</v>
      </c>
      <c r="AA35" s="16">
        <v>4466.6819179000004</v>
      </c>
      <c r="AB35" s="16">
        <v>4495.5147402000002</v>
      </c>
      <c r="AC35" s="16">
        <v>4373.1451112000004</v>
      </c>
      <c r="AD35" s="16">
        <v>4210.7909986000004</v>
      </c>
      <c r="AE35" s="10">
        <v>3399.2253620000001</v>
      </c>
      <c r="AF35" s="15">
        <v>3257.8827030000002</v>
      </c>
    </row>
    <row r="36" spans="1:32">
      <c r="A36" s="39" t="str">
        <f>VLOOKUP("&lt;Zeilentitel_26&gt;",Uebersetzungen!$B$3:$E$294,Uebersetzungen!$B$2+1,FALSE)</f>
        <v>50 + 51</v>
      </c>
      <c r="B36" s="8" t="str">
        <f>VLOOKUP("&lt;Zeilentitel_26.1&gt;",Uebersetzungen!$B$3:$E$294,Uebersetzungen!$B$2+1,FALSE)</f>
        <v>Schifffahrt und Luftfahrt</v>
      </c>
      <c r="D36" s="9">
        <v>643</v>
      </c>
      <c r="E36" s="16">
        <v>81</v>
      </c>
      <c r="F36" s="16">
        <v>77</v>
      </c>
      <c r="G36" s="16">
        <v>77</v>
      </c>
      <c r="H36" s="16">
        <v>75</v>
      </c>
      <c r="I36" s="16">
        <v>71</v>
      </c>
      <c r="J36" s="16">
        <v>71</v>
      </c>
      <c r="K36" s="16">
        <v>80</v>
      </c>
      <c r="L36" s="16">
        <v>72</v>
      </c>
      <c r="M36" s="16">
        <v>73</v>
      </c>
      <c r="N36" s="16">
        <v>48</v>
      </c>
      <c r="O36" s="16">
        <v>83</v>
      </c>
      <c r="P36" s="10">
        <v>109</v>
      </c>
      <c r="Q36" s="15">
        <v>113</v>
      </c>
      <c r="S36" s="9">
        <v>474.541607</v>
      </c>
      <c r="T36" s="16">
        <v>69.48</v>
      </c>
      <c r="U36" s="16">
        <v>64.009096999999997</v>
      </c>
      <c r="V36" s="16">
        <v>66.907825099999997</v>
      </c>
      <c r="W36" s="16">
        <v>61.734658899999999</v>
      </c>
      <c r="X36" s="16">
        <v>57.682049399999997</v>
      </c>
      <c r="Y36" s="16">
        <v>55.989773599999999</v>
      </c>
      <c r="Z36" s="16">
        <v>60.4340197</v>
      </c>
      <c r="AA36" s="16">
        <v>54.5911957</v>
      </c>
      <c r="AB36" s="16">
        <v>56.4215327</v>
      </c>
      <c r="AC36" s="16">
        <v>35.467122799999999</v>
      </c>
      <c r="AD36" s="16">
        <v>59.995384899999998</v>
      </c>
      <c r="AE36" s="10">
        <v>70.378038829999994</v>
      </c>
      <c r="AF36" s="15">
        <v>74.440647299999995</v>
      </c>
    </row>
    <row r="37" spans="1:32">
      <c r="A37" s="39">
        <f>VLOOKUP("&lt;Zeilentitel_27&gt;",Uebersetzungen!$B$3:$E$294,Uebersetzungen!$B$2+1,FALSE)</f>
        <v>52</v>
      </c>
      <c r="B37" s="8" t="str">
        <f>VLOOKUP("&lt;Zeilentitel_27.1&gt;",Uebersetzungen!$B$3:$E$294,Uebersetzungen!$B$2+1,FALSE)</f>
        <v>Lagerei sowie Erbringung von sonstigen Dienstleistungen für den Verkehr</v>
      </c>
      <c r="D37" s="9">
        <v>910</v>
      </c>
      <c r="E37" s="16">
        <v>890</v>
      </c>
      <c r="F37" s="16">
        <v>887</v>
      </c>
      <c r="G37" s="16">
        <v>935</v>
      </c>
      <c r="H37" s="16">
        <v>932</v>
      </c>
      <c r="I37" s="16">
        <v>932</v>
      </c>
      <c r="J37" s="16">
        <v>922</v>
      </c>
      <c r="K37" s="16">
        <v>931</v>
      </c>
      <c r="L37" s="16">
        <v>953</v>
      </c>
      <c r="M37" s="16">
        <v>957</v>
      </c>
      <c r="N37" s="16">
        <v>930</v>
      </c>
      <c r="O37" s="16">
        <v>951</v>
      </c>
      <c r="P37" s="10">
        <v>945</v>
      </c>
      <c r="Q37" s="15">
        <v>991</v>
      </c>
      <c r="S37" s="9">
        <v>807.22051490000001</v>
      </c>
      <c r="T37" s="16">
        <v>787.44</v>
      </c>
      <c r="U37" s="16">
        <v>782.9636514</v>
      </c>
      <c r="V37" s="16">
        <v>828.43851529999995</v>
      </c>
      <c r="W37" s="16">
        <v>818.1599142</v>
      </c>
      <c r="X37" s="16">
        <v>826.40119070000003</v>
      </c>
      <c r="Y37" s="16">
        <v>823.24157479999997</v>
      </c>
      <c r="Z37" s="16">
        <v>828.28867790000004</v>
      </c>
      <c r="AA37" s="16">
        <v>842.32260159999998</v>
      </c>
      <c r="AB37" s="16">
        <v>850.29865510000002</v>
      </c>
      <c r="AC37" s="16">
        <v>833.97935900000004</v>
      </c>
      <c r="AD37" s="16">
        <v>854.76723560000005</v>
      </c>
      <c r="AE37" s="10">
        <v>860.01784669999995</v>
      </c>
      <c r="AF37" s="15">
        <v>898.32343709999998</v>
      </c>
    </row>
    <row r="38" spans="1:32">
      <c r="A38" s="39">
        <f>VLOOKUP("&lt;Zeilentitel_28&gt;",Uebersetzungen!$B$3:$E$294,Uebersetzungen!$B$2+1,FALSE)</f>
        <v>53</v>
      </c>
      <c r="B38" s="8" t="str">
        <f>VLOOKUP("&lt;Zeilentitel_28.1&gt;",Uebersetzungen!$B$3:$E$294,Uebersetzungen!$B$2+1,FALSE)</f>
        <v>Post-, Kurier- und Expressdienste</v>
      </c>
      <c r="D38" s="9">
        <v>858</v>
      </c>
      <c r="E38" s="16">
        <v>901</v>
      </c>
      <c r="F38" s="16">
        <v>820</v>
      </c>
      <c r="G38" s="16">
        <v>907</v>
      </c>
      <c r="H38" s="16">
        <v>945</v>
      </c>
      <c r="I38" s="16">
        <v>949</v>
      </c>
      <c r="J38" s="16">
        <v>1039</v>
      </c>
      <c r="K38" s="16">
        <v>1114</v>
      </c>
      <c r="L38" s="16">
        <v>1214</v>
      </c>
      <c r="M38" s="16">
        <v>1236</v>
      </c>
      <c r="N38" s="16">
        <v>1332</v>
      </c>
      <c r="O38" s="16">
        <v>1335</v>
      </c>
      <c r="P38" s="10">
        <v>1620</v>
      </c>
      <c r="Q38" s="15">
        <v>2039</v>
      </c>
      <c r="S38" s="9">
        <v>642.59939569999995</v>
      </c>
      <c r="T38" s="16">
        <v>681.44</v>
      </c>
      <c r="U38" s="16">
        <v>617.88322849999997</v>
      </c>
      <c r="V38" s="16">
        <v>666.53124490000005</v>
      </c>
      <c r="W38" s="16">
        <v>686.88293350000004</v>
      </c>
      <c r="X38" s="16">
        <v>709.72924139999998</v>
      </c>
      <c r="Y38" s="16">
        <v>711.96575180000002</v>
      </c>
      <c r="Z38" s="16">
        <v>753.03260020000005</v>
      </c>
      <c r="AA38" s="16">
        <v>802.35500860000002</v>
      </c>
      <c r="AB38" s="16">
        <v>800.96935940000003</v>
      </c>
      <c r="AC38" s="16">
        <v>841.90534700000001</v>
      </c>
      <c r="AD38" s="16">
        <v>846.3547337</v>
      </c>
      <c r="AE38" s="10">
        <v>944.8163419</v>
      </c>
      <c r="AF38" s="15">
        <v>1133.984927</v>
      </c>
    </row>
    <row r="39" spans="1:32">
      <c r="A39" s="39">
        <f>VLOOKUP("&lt;Zeilentitel_29&gt;",Uebersetzungen!$B$3:$E$294,Uebersetzungen!$B$2+1,FALSE)</f>
        <v>55</v>
      </c>
      <c r="B39" s="8" t="str">
        <f>VLOOKUP("&lt;Zeilentitel_29.1&gt;",Uebersetzungen!$B$3:$E$294,Uebersetzungen!$B$2+1,FALSE)</f>
        <v>Beherbergung</v>
      </c>
      <c r="D39" s="9">
        <v>12962</v>
      </c>
      <c r="E39" s="16">
        <v>12152</v>
      </c>
      <c r="F39" s="16">
        <v>11468</v>
      </c>
      <c r="G39" s="16">
        <v>12224</v>
      </c>
      <c r="H39" s="16">
        <v>11926</v>
      </c>
      <c r="I39" s="16">
        <v>11884</v>
      </c>
      <c r="J39" s="16">
        <v>12001</v>
      </c>
      <c r="K39" s="16">
        <v>11959</v>
      </c>
      <c r="L39" s="16">
        <v>12318</v>
      </c>
      <c r="M39" s="16">
        <v>12474</v>
      </c>
      <c r="N39" s="16">
        <v>12077</v>
      </c>
      <c r="O39" s="16">
        <v>11964</v>
      </c>
      <c r="P39" s="10">
        <v>10658</v>
      </c>
      <c r="Q39" s="15">
        <v>10214</v>
      </c>
      <c r="S39" s="9">
        <v>11203.764576</v>
      </c>
      <c r="T39" s="16">
        <v>10384.08</v>
      </c>
      <c r="U39" s="16">
        <v>9854.9783539</v>
      </c>
      <c r="V39" s="16">
        <v>10357.659223000001</v>
      </c>
      <c r="W39" s="16">
        <v>10210.5351022</v>
      </c>
      <c r="X39" s="16">
        <v>10131.939941299999</v>
      </c>
      <c r="Y39" s="16">
        <v>10240.0565365</v>
      </c>
      <c r="Z39" s="16">
        <v>10196.7137291</v>
      </c>
      <c r="AA39" s="16">
        <v>10577.44096</v>
      </c>
      <c r="AB39" s="16">
        <v>10656.8145578</v>
      </c>
      <c r="AC39" s="16">
        <v>10310.680744900001</v>
      </c>
      <c r="AD39" s="16">
        <v>10126.0943186</v>
      </c>
      <c r="AE39" s="10">
        <v>9471.3281970000007</v>
      </c>
      <c r="AF39" s="15">
        <v>9076.8242009999994</v>
      </c>
    </row>
    <row r="40" spans="1:32">
      <c r="A40" s="39">
        <f>VLOOKUP("&lt;Zeilentitel_30&gt;",Uebersetzungen!$B$3:$E$294,Uebersetzungen!$B$2+1,FALSE)</f>
        <v>56</v>
      </c>
      <c r="B40" s="8" t="str">
        <f>VLOOKUP("&lt;Zeilentitel_30.1&gt;",Uebersetzungen!$B$3:$E$294,Uebersetzungen!$B$2+1,FALSE)</f>
        <v>Gastronomie</v>
      </c>
      <c r="D40" s="9">
        <v>6145</v>
      </c>
      <c r="E40" s="16">
        <v>5918</v>
      </c>
      <c r="F40" s="16">
        <v>5708</v>
      </c>
      <c r="G40" s="16">
        <v>6188</v>
      </c>
      <c r="H40" s="16">
        <v>5929</v>
      </c>
      <c r="I40" s="16">
        <v>5801</v>
      </c>
      <c r="J40" s="16">
        <v>5727</v>
      </c>
      <c r="K40" s="16">
        <v>5649</v>
      </c>
      <c r="L40" s="16">
        <v>5835</v>
      </c>
      <c r="M40" s="16">
        <v>5857</v>
      </c>
      <c r="N40" s="16">
        <v>5874</v>
      </c>
      <c r="O40" s="16">
        <v>6180</v>
      </c>
      <c r="P40" s="10">
        <v>5071</v>
      </c>
      <c r="Q40" s="15">
        <v>5230</v>
      </c>
      <c r="S40" s="9">
        <v>4863.0328848999998</v>
      </c>
      <c r="T40" s="16">
        <v>4643.13</v>
      </c>
      <c r="U40" s="16">
        <v>4463.4942750999999</v>
      </c>
      <c r="V40" s="16">
        <v>4706.5659793000004</v>
      </c>
      <c r="W40" s="16">
        <v>4625.1274751999999</v>
      </c>
      <c r="X40" s="16">
        <v>4461.0669895999999</v>
      </c>
      <c r="Y40" s="16">
        <v>4433.0523807999998</v>
      </c>
      <c r="Z40" s="16">
        <v>4352.9423262999999</v>
      </c>
      <c r="AA40" s="16">
        <v>4476.6411000999997</v>
      </c>
      <c r="AB40" s="16">
        <v>4447.6076825999999</v>
      </c>
      <c r="AC40" s="16">
        <v>4510.0814737000001</v>
      </c>
      <c r="AD40" s="16">
        <v>4675.4289275000001</v>
      </c>
      <c r="AE40" s="10">
        <v>3751.637581</v>
      </c>
      <c r="AF40" s="15">
        <v>3991.0580669999999</v>
      </c>
    </row>
    <row r="41" spans="1:32">
      <c r="A41" s="39" t="str">
        <f>VLOOKUP("&lt;Zeilentitel_31&gt;",Uebersetzungen!$B$3:$E$294,Uebersetzungen!$B$2+1,FALSE)</f>
        <v>58 bis 60</v>
      </c>
      <c r="B41" s="8" t="str">
        <f>VLOOKUP("&lt;Zeilentitel_31.1&gt;",Uebersetzungen!$B$3:$E$294,Uebersetzungen!$B$2+1,FALSE)</f>
        <v>Verlagswesen, audiovisuelle Medien und Rundfunk</v>
      </c>
      <c r="D41" s="9">
        <v>656</v>
      </c>
      <c r="E41" s="16">
        <v>669</v>
      </c>
      <c r="F41" s="16">
        <v>669</v>
      </c>
      <c r="G41" s="16">
        <v>711</v>
      </c>
      <c r="H41" s="16">
        <v>699</v>
      </c>
      <c r="I41" s="16">
        <v>748</v>
      </c>
      <c r="J41" s="16">
        <v>771</v>
      </c>
      <c r="K41" s="16">
        <v>824</v>
      </c>
      <c r="L41" s="16">
        <v>800</v>
      </c>
      <c r="M41" s="16">
        <v>768</v>
      </c>
      <c r="N41" s="16">
        <v>797</v>
      </c>
      <c r="O41" s="16">
        <v>785</v>
      </c>
      <c r="P41" s="10">
        <v>710</v>
      </c>
      <c r="Q41" s="15">
        <v>632</v>
      </c>
      <c r="S41" s="9">
        <v>455.67063460000003</v>
      </c>
      <c r="T41" s="16">
        <v>466.46</v>
      </c>
      <c r="U41" s="16">
        <v>473.40008449999999</v>
      </c>
      <c r="V41" s="16">
        <v>512.57857790000003</v>
      </c>
      <c r="W41" s="16">
        <v>489.0204511</v>
      </c>
      <c r="X41" s="16">
        <v>531.73254589999999</v>
      </c>
      <c r="Y41" s="16">
        <v>520.64138070000001</v>
      </c>
      <c r="Z41" s="16">
        <v>534.56315480000001</v>
      </c>
      <c r="AA41" s="16">
        <v>528.33652400000005</v>
      </c>
      <c r="AB41" s="16">
        <v>534.10194520000005</v>
      </c>
      <c r="AC41" s="16">
        <v>537.99954549999995</v>
      </c>
      <c r="AD41" s="16">
        <v>528.45898910000005</v>
      </c>
      <c r="AE41" s="10">
        <v>473.00581</v>
      </c>
      <c r="AF41" s="15">
        <v>390.2719702</v>
      </c>
    </row>
    <row r="42" spans="1:32">
      <c r="A42" s="39">
        <f>VLOOKUP("&lt;Zeilentitel_32&gt;",Uebersetzungen!$B$3:$E$294,Uebersetzungen!$B$2+1,FALSE)</f>
        <v>61</v>
      </c>
      <c r="B42" s="8" t="str">
        <f>VLOOKUP("&lt;Zeilentitel_32.1&gt;",Uebersetzungen!$B$3:$E$294,Uebersetzungen!$B$2+1,FALSE)</f>
        <v>Telekommunikation</v>
      </c>
      <c r="D42" s="9">
        <v>375</v>
      </c>
      <c r="E42" s="16">
        <v>393</v>
      </c>
      <c r="F42" s="16">
        <v>422</v>
      </c>
      <c r="G42" s="16">
        <v>445</v>
      </c>
      <c r="H42" s="16">
        <v>461</v>
      </c>
      <c r="I42" s="16">
        <v>501</v>
      </c>
      <c r="J42" s="16">
        <v>519</v>
      </c>
      <c r="K42" s="16">
        <v>532</v>
      </c>
      <c r="L42" s="16">
        <v>472</v>
      </c>
      <c r="M42" s="16">
        <v>515</v>
      </c>
      <c r="N42" s="16">
        <v>539</v>
      </c>
      <c r="O42" s="16">
        <v>553</v>
      </c>
      <c r="P42" s="10">
        <v>611</v>
      </c>
      <c r="Q42" s="15">
        <v>612</v>
      </c>
      <c r="S42" s="9">
        <v>341.01713890000002</v>
      </c>
      <c r="T42" s="16">
        <v>346.42</v>
      </c>
      <c r="U42" s="16">
        <v>376.39620309999998</v>
      </c>
      <c r="V42" s="16">
        <v>400.7343171</v>
      </c>
      <c r="W42" s="16">
        <v>419.4734856</v>
      </c>
      <c r="X42" s="16">
        <v>448.96483840000002</v>
      </c>
      <c r="Y42" s="16">
        <v>468.15294820000003</v>
      </c>
      <c r="Z42" s="16">
        <v>492.1150581</v>
      </c>
      <c r="AA42" s="16">
        <v>438.59942239999998</v>
      </c>
      <c r="AB42" s="16">
        <v>477.2793107</v>
      </c>
      <c r="AC42" s="16">
        <v>502.02489250000002</v>
      </c>
      <c r="AD42" s="16">
        <v>519.7977578</v>
      </c>
      <c r="AE42" s="10">
        <v>574.97583740000005</v>
      </c>
      <c r="AF42" s="15">
        <v>566.917329</v>
      </c>
    </row>
    <row r="43" spans="1:32">
      <c r="A43" s="39" t="str">
        <f>VLOOKUP("&lt;Zeilentitel_33&gt;",Uebersetzungen!$B$3:$E$294,Uebersetzungen!$B$2+1,FALSE)</f>
        <v>62 + 63</v>
      </c>
      <c r="B43" s="8" t="str">
        <f>VLOOKUP("&lt;Zeilentitel_33.1&gt;",Uebersetzungen!$B$3:$E$294,Uebersetzungen!$B$2+1,FALSE)</f>
        <v>Informationstechnologische und Informationsdienstleistungen</v>
      </c>
      <c r="D43" s="9">
        <v>1401</v>
      </c>
      <c r="E43" s="16">
        <v>1295</v>
      </c>
      <c r="F43" s="16">
        <v>1234</v>
      </c>
      <c r="G43" s="16">
        <v>1251</v>
      </c>
      <c r="H43" s="16">
        <v>1186</v>
      </c>
      <c r="I43" s="16">
        <v>1135</v>
      </c>
      <c r="J43" s="16">
        <v>1031</v>
      </c>
      <c r="K43" s="16">
        <v>998</v>
      </c>
      <c r="L43" s="16">
        <v>1035</v>
      </c>
      <c r="M43" s="16">
        <v>1026</v>
      </c>
      <c r="N43" s="16">
        <v>959</v>
      </c>
      <c r="O43" s="16">
        <v>933</v>
      </c>
      <c r="P43" s="10">
        <v>763</v>
      </c>
      <c r="Q43" s="15">
        <v>735</v>
      </c>
      <c r="S43" s="9">
        <v>1120.1310570000001</v>
      </c>
      <c r="T43" s="16">
        <v>1038.3499999999999</v>
      </c>
      <c r="U43" s="16">
        <v>997.67235440000002</v>
      </c>
      <c r="V43" s="16">
        <v>1001.9468352</v>
      </c>
      <c r="W43" s="16">
        <v>970.5706907</v>
      </c>
      <c r="X43" s="16">
        <v>915.31989269999997</v>
      </c>
      <c r="Y43" s="16">
        <v>829.89272740000001</v>
      </c>
      <c r="Z43" s="16">
        <v>779.30657480000002</v>
      </c>
      <c r="AA43" s="16">
        <v>798.32162270000003</v>
      </c>
      <c r="AB43" s="16">
        <v>818.51369209999996</v>
      </c>
      <c r="AC43" s="16">
        <v>794.27897270000005</v>
      </c>
      <c r="AD43" s="16">
        <v>779.03149350000001</v>
      </c>
      <c r="AE43" s="10">
        <v>598.76699389999999</v>
      </c>
      <c r="AF43" s="15">
        <v>591.50603390000003</v>
      </c>
    </row>
    <row r="44" spans="1:32">
      <c r="A44" s="39">
        <f>VLOOKUP("&lt;Zeilentitel_34&gt;",Uebersetzungen!$B$3:$E$294,Uebersetzungen!$B$2+1,FALSE)</f>
        <v>64</v>
      </c>
      <c r="B44" s="8" t="str">
        <f>VLOOKUP("&lt;Zeilentitel_34.1&gt;",Uebersetzungen!$B$3:$E$294,Uebersetzungen!$B$2+1,FALSE)</f>
        <v>Erbringung von Finanzdienstleistungen</v>
      </c>
      <c r="D44" s="9">
        <v>1701</v>
      </c>
      <c r="E44" s="16">
        <v>1689</v>
      </c>
      <c r="F44" s="16">
        <v>1679</v>
      </c>
      <c r="G44" s="16">
        <v>1658</v>
      </c>
      <c r="H44" s="16">
        <v>1705</v>
      </c>
      <c r="I44" s="16">
        <v>1734</v>
      </c>
      <c r="J44" s="16">
        <v>1799</v>
      </c>
      <c r="K44" s="16">
        <v>1824</v>
      </c>
      <c r="L44" s="16">
        <v>1782</v>
      </c>
      <c r="M44" s="16">
        <v>1866</v>
      </c>
      <c r="N44" s="16">
        <v>1984</v>
      </c>
      <c r="O44" s="16">
        <v>1984</v>
      </c>
      <c r="P44" s="10">
        <v>2143</v>
      </c>
      <c r="Q44" s="15">
        <v>2197</v>
      </c>
      <c r="S44" s="9">
        <v>1357.9390384999999</v>
      </c>
      <c r="T44" s="16">
        <v>1366.26</v>
      </c>
      <c r="U44" s="16">
        <v>1351.1118061</v>
      </c>
      <c r="V44" s="16">
        <v>1311.2206880000001</v>
      </c>
      <c r="W44" s="16">
        <v>1383.0249693999999</v>
      </c>
      <c r="X44" s="16">
        <v>1410.5613493999999</v>
      </c>
      <c r="Y44" s="16">
        <v>1463.1754453999999</v>
      </c>
      <c r="Z44" s="16">
        <v>1475.1900820000001</v>
      </c>
      <c r="AA44" s="16">
        <v>1441.8125137</v>
      </c>
      <c r="AB44" s="16">
        <v>1508.3987555000001</v>
      </c>
      <c r="AC44" s="16">
        <v>1525.4855379000001</v>
      </c>
      <c r="AD44" s="16">
        <v>1527.3560861000001</v>
      </c>
      <c r="AE44" s="10">
        <v>1647.2993779999999</v>
      </c>
      <c r="AF44" s="15">
        <v>1630.508529</v>
      </c>
    </row>
    <row r="45" spans="1:32">
      <c r="A45" s="39">
        <f>VLOOKUP("&lt;Zeilentitel_35&gt;",Uebersetzungen!$B$3:$E$294,Uebersetzungen!$B$2+1,FALSE)</f>
        <v>65</v>
      </c>
      <c r="B45" s="8" t="str">
        <f>VLOOKUP("&lt;Zeilentitel_35.1&gt;",Uebersetzungen!$B$3:$E$294,Uebersetzungen!$B$2+1,FALSE)</f>
        <v>Versicherungen, Rückversicherungen und Pensionskassen (ohne Sozialversicherung)</v>
      </c>
      <c r="D45" s="9">
        <v>617</v>
      </c>
      <c r="E45" s="16">
        <v>582</v>
      </c>
      <c r="F45" s="16">
        <v>570</v>
      </c>
      <c r="G45" s="16">
        <v>563</v>
      </c>
      <c r="H45" s="16">
        <v>563</v>
      </c>
      <c r="I45" s="16">
        <v>571</v>
      </c>
      <c r="J45" s="16">
        <v>641</v>
      </c>
      <c r="K45" s="16">
        <v>650</v>
      </c>
      <c r="L45" s="16">
        <v>641</v>
      </c>
      <c r="M45" s="16">
        <v>648</v>
      </c>
      <c r="N45" s="16">
        <v>623</v>
      </c>
      <c r="O45" s="16">
        <v>618</v>
      </c>
      <c r="P45" s="10">
        <v>725</v>
      </c>
      <c r="Q45" s="15">
        <v>750</v>
      </c>
      <c r="S45" s="9">
        <v>477.8593947</v>
      </c>
      <c r="T45" s="16">
        <v>466.93</v>
      </c>
      <c r="U45" s="16">
        <v>466.07305939999998</v>
      </c>
      <c r="V45" s="16">
        <v>448.846521</v>
      </c>
      <c r="W45" s="16">
        <v>454.4440371</v>
      </c>
      <c r="X45" s="16">
        <v>466.74061799999998</v>
      </c>
      <c r="Y45" s="16">
        <v>523.40964450000001</v>
      </c>
      <c r="Z45" s="16">
        <v>530.23209670000006</v>
      </c>
      <c r="AA45" s="16">
        <v>522.93431150000004</v>
      </c>
      <c r="AB45" s="16">
        <v>513.60110870000005</v>
      </c>
      <c r="AC45" s="16">
        <v>486.65532539999998</v>
      </c>
      <c r="AD45" s="16">
        <v>492.26209239999997</v>
      </c>
      <c r="AE45" s="10">
        <v>621.25565510000001</v>
      </c>
      <c r="AF45" s="15">
        <v>644.07499499999994</v>
      </c>
    </row>
    <row r="46" spans="1:32">
      <c r="A46" s="39">
        <f>VLOOKUP("&lt;Zeilentitel_36&gt;",Uebersetzungen!$B$3:$E$294,Uebersetzungen!$B$2+1,FALSE)</f>
        <v>66</v>
      </c>
      <c r="B46" s="8" t="str">
        <f>VLOOKUP("&lt;Zeilentitel_36.1&gt;",Uebersetzungen!$B$3:$E$294,Uebersetzungen!$B$2+1,FALSE)</f>
        <v>Mit Finanz- und Versicherungsdienstleistungen verbundene Tätigkeiten</v>
      </c>
      <c r="D46" s="9">
        <v>1138</v>
      </c>
      <c r="E46" s="16">
        <v>1116</v>
      </c>
      <c r="F46" s="16">
        <v>1073</v>
      </c>
      <c r="G46" s="16">
        <v>1066</v>
      </c>
      <c r="H46" s="16">
        <v>1072</v>
      </c>
      <c r="I46" s="16">
        <v>1068</v>
      </c>
      <c r="J46" s="16">
        <v>1068</v>
      </c>
      <c r="K46" s="16">
        <v>1045</v>
      </c>
      <c r="L46" s="16">
        <v>1043</v>
      </c>
      <c r="M46" s="16">
        <v>970</v>
      </c>
      <c r="N46" s="16">
        <v>944</v>
      </c>
      <c r="O46" s="16">
        <v>954</v>
      </c>
      <c r="P46" s="10">
        <v>534</v>
      </c>
      <c r="Q46" s="15">
        <v>463</v>
      </c>
      <c r="S46" s="9">
        <v>922.51627659999997</v>
      </c>
      <c r="T46" s="16">
        <v>925.4</v>
      </c>
      <c r="U46" s="16">
        <v>871.3429185</v>
      </c>
      <c r="V46" s="16">
        <v>853.74174370000003</v>
      </c>
      <c r="W46" s="16">
        <v>863.33841919999998</v>
      </c>
      <c r="X46" s="16">
        <v>854.21595349999996</v>
      </c>
      <c r="Y46" s="16">
        <v>852.01634820000004</v>
      </c>
      <c r="Z46" s="16">
        <v>832.25394730000005</v>
      </c>
      <c r="AA46" s="16">
        <v>838.67892510000001</v>
      </c>
      <c r="AB46" s="16">
        <v>797.15887139999995</v>
      </c>
      <c r="AC46" s="16">
        <v>785.35026719999996</v>
      </c>
      <c r="AD46" s="16">
        <v>784.93111680000004</v>
      </c>
      <c r="AE46" s="10">
        <v>409.74971529999999</v>
      </c>
      <c r="AF46" s="15">
        <v>351.7963676</v>
      </c>
    </row>
    <row r="47" spans="1:32">
      <c r="A47" s="39">
        <f>VLOOKUP("&lt;Zeilentitel_37&gt;",Uebersetzungen!$B$3:$E$294,Uebersetzungen!$B$2+1,FALSE)</f>
        <v>68</v>
      </c>
      <c r="B47" s="8" t="str">
        <f>VLOOKUP("&lt;Zeilentitel_37.1&gt;",Uebersetzungen!$B$3:$E$294,Uebersetzungen!$B$2+1,FALSE)</f>
        <v>Grundstücks- und Wohnungswesen</v>
      </c>
      <c r="D47" s="9">
        <v>1833</v>
      </c>
      <c r="E47" s="16">
        <v>1824</v>
      </c>
      <c r="F47" s="16">
        <v>1785</v>
      </c>
      <c r="G47" s="16">
        <v>1803</v>
      </c>
      <c r="H47" s="16">
        <v>1752</v>
      </c>
      <c r="I47" s="16">
        <v>1693</v>
      </c>
      <c r="J47" s="16">
        <v>1681</v>
      </c>
      <c r="K47" s="16">
        <v>1626</v>
      </c>
      <c r="L47" s="16">
        <v>1678</v>
      </c>
      <c r="M47" s="16">
        <v>1700</v>
      </c>
      <c r="N47" s="16">
        <v>1650</v>
      </c>
      <c r="O47" s="16">
        <v>1661</v>
      </c>
      <c r="P47" s="10">
        <v>1091</v>
      </c>
      <c r="Q47" s="15">
        <v>1036</v>
      </c>
      <c r="S47" s="9">
        <v>973.72756919999995</v>
      </c>
      <c r="T47" s="16">
        <v>1019.49</v>
      </c>
      <c r="U47" s="16">
        <v>968.00017279999997</v>
      </c>
      <c r="V47" s="16">
        <v>938.63754449999999</v>
      </c>
      <c r="W47" s="16">
        <v>925.13673119999999</v>
      </c>
      <c r="X47" s="16">
        <v>859.04521069999998</v>
      </c>
      <c r="Y47" s="16">
        <v>852.86362299999996</v>
      </c>
      <c r="Z47" s="16">
        <v>819.28001749999999</v>
      </c>
      <c r="AA47" s="16">
        <v>831.33471359999999</v>
      </c>
      <c r="AB47" s="16">
        <v>864.38905260000001</v>
      </c>
      <c r="AC47" s="16">
        <v>812.84231580000005</v>
      </c>
      <c r="AD47" s="16">
        <v>853.5340989</v>
      </c>
      <c r="AE47" s="10">
        <v>519.02487240000005</v>
      </c>
      <c r="AF47" s="15">
        <v>490.27960890000003</v>
      </c>
    </row>
    <row r="48" spans="1:32">
      <c r="A48" s="39">
        <f>VLOOKUP("&lt;Zeilentitel_38&gt;",Uebersetzungen!$B$3:$E$294,Uebersetzungen!$B$2+1,FALSE)</f>
        <v>69</v>
      </c>
      <c r="B48" s="8" t="str">
        <f>VLOOKUP("&lt;Zeilentitel_38.1&gt;",Uebersetzungen!$B$3:$E$294,Uebersetzungen!$B$2+1,FALSE)</f>
        <v>Rechts- und Steuerberatung, Wirtschaftsprüfung</v>
      </c>
      <c r="D48" s="9">
        <v>1968</v>
      </c>
      <c r="E48" s="16">
        <v>1729</v>
      </c>
      <c r="F48" s="16">
        <v>1733</v>
      </c>
      <c r="G48" s="16">
        <v>1743</v>
      </c>
      <c r="H48" s="16">
        <v>1738</v>
      </c>
      <c r="I48" s="16">
        <v>1740</v>
      </c>
      <c r="J48" s="16">
        <v>1760</v>
      </c>
      <c r="K48" s="16">
        <v>1728</v>
      </c>
      <c r="L48" s="16">
        <v>1711</v>
      </c>
      <c r="M48" s="16">
        <v>1679</v>
      </c>
      <c r="N48" s="16">
        <v>1671</v>
      </c>
      <c r="O48" s="16">
        <v>1692</v>
      </c>
      <c r="P48" s="10">
        <v>1569</v>
      </c>
      <c r="Q48" s="15">
        <v>1556</v>
      </c>
      <c r="S48" s="9">
        <v>1447.4122419</v>
      </c>
      <c r="T48" s="16">
        <v>1234.98</v>
      </c>
      <c r="U48" s="16">
        <v>1240.4143300999999</v>
      </c>
      <c r="V48" s="16">
        <v>1235.3630275</v>
      </c>
      <c r="W48" s="16">
        <v>1248.7715922</v>
      </c>
      <c r="X48" s="16">
        <v>1232.6162119000001</v>
      </c>
      <c r="Y48" s="16">
        <v>1246.3857532</v>
      </c>
      <c r="Z48" s="16">
        <v>1209.3004243</v>
      </c>
      <c r="AA48" s="16">
        <v>1192.2453840000001</v>
      </c>
      <c r="AB48" s="16">
        <v>1148.2955766</v>
      </c>
      <c r="AC48" s="16">
        <v>1140.7469028999999</v>
      </c>
      <c r="AD48" s="16">
        <v>1138.2166285999999</v>
      </c>
      <c r="AE48" s="10">
        <v>1069.373793</v>
      </c>
      <c r="AF48" s="15">
        <v>1075.9972789999999</v>
      </c>
    </row>
    <row r="49" spans="1:32">
      <c r="A49" s="39">
        <f>VLOOKUP("&lt;Zeilentitel_39&gt;",Uebersetzungen!$B$3:$E$294,Uebersetzungen!$B$2+1,FALSE)</f>
        <v>70</v>
      </c>
      <c r="B49" s="8" t="str">
        <f>VLOOKUP("&lt;Zeilentitel_39.1&gt;",Uebersetzungen!$B$3:$E$294,Uebersetzungen!$B$2+1,FALSE)</f>
        <v>Verwaltung und Führung von Unternehmen und Betrieben; Unternehmensberatung</v>
      </c>
      <c r="D49" s="9">
        <v>1149</v>
      </c>
      <c r="E49" s="16">
        <v>1072</v>
      </c>
      <c r="F49" s="16">
        <v>967</v>
      </c>
      <c r="G49" s="16">
        <v>890</v>
      </c>
      <c r="H49" s="16">
        <v>827</v>
      </c>
      <c r="I49" s="16">
        <v>837</v>
      </c>
      <c r="J49" s="16">
        <v>774</v>
      </c>
      <c r="K49" s="16">
        <v>745</v>
      </c>
      <c r="L49" s="16">
        <v>755</v>
      </c>
      <c r="M49" s="16">
        <v>715</v>
      </c>
      <c r="N49" s="16">
        <v>808</v>
      </c>
      <c r="O49" s="16">
        <v>734</v>
      </c>
      <c r="P49" s="10">
        <v>577</v>
      </c>
      <c r="Q49" s="15">
        <v>370</v>
      </c>
      <c r="S49" s="9">
        <v>842.27829310000004</v>
      </c>
      <c r="T49" s="16">
        <v>801.36</v>
      </c>
      <c r="U49" s="16">
        <v>709.55875449999996</v>
      </c>
      <c r="V49" s="16">
        <v>659.42201599999999</v>
      </c>
      <c r="W49" s="16">
        <v>625.0813028</v>
      </c>
      <c r="X49" s="16">
        <v>631.58423400000004</v>
      </c>
      <c r="Y49" s="16">
        <v>570.49175860000003</v>
      </c>
      <c r="Z49" s="16">
        <v>540.09553359999995</v>
      </c>
      <c r="AA49" s="16">
        <v>564.54956279999999</v>
      </c>
      <c r="AB49" s="16">
        <v>542.08082400000001</v>
      </c>
      <c r="AC49" s="16">
        <v>637.40468480000004</v>
      </c>
      <c r="AD49" s="16">
        <v>590.9869655</v>
      </c>
      <c r="AE49" s="10">
        <v>429.89336550000002</v>
      </c>
      <c r="AF49" s="15">
        <v>245.01840250000001</v>
      </c>
    </row>
    <row r="50" spans="1:32">
      <c r="A50" s="39">
        <f>VLOOKUP("&lt;Zeilentitel_40&gt;",Uebersetzungen!$B$3:$E$294,Uebersetzungen!$B$2+1,FALSE)</f>
        <v>71</v>
      </c>
      <c r="B50" s="8" t="str">
        <f>VLOOKUP("&lt;Zeilentitel_40.1&gt;",Uebersetzungen!$B$3:$E$294,Uebersetzungen!$B$2+1,FALSE)</f>
        <v>Architektur- und Ingenieurbüros; technische, physikalische und chemische Untersuchung</v>
      </c>
      <c r="D50" s="9">
        <v>4057</v>
      </c>
      <c r="E50" s="16">
        <v>3920</v>
      </c>
      <c r="F50" s="16">
        <v>3788</v>
      </c>
      <c r="G50" s="16">
        <v>3753</v>
      </c>
      <c r="H50" s="16">
        <v>3683</v>
      </c>
      <c r="I50" s="16">
        <v>3693</v>
      </c>
      <c r="J50" s="16">
        <v>3607</v>
      </c>
      <c r="K50" s="16">
        <v>3589</v>
      </c>
      <c r="L50" s="16">
        <v>3747</v>
      </c>
      <c r="M50" s="16">
        <v>3738</v>
      </c>
      <c r="N50" s="16">
        <v>3608</v>
      </c>
      <c r="O50" s="16">
        <v>3524</v>
      </c>
      <c r="P50" s="10">
        <v>3142</v>
      </c>
      <c r="Q50" s="15">
        <v>2853</v>
      </c>
      <c r="S50" s="9">
        <v>3251.0628618000001</v>
      </c>
      <c r="T50" s="16">
        <v>3167.25</v>
      </c>
      <c r="U50" s="16">
        <v>3117.2177720999998</v>
      </c>
      <c r="V50" s="16">
        <v>3052.2488741000002</v>
      </c>
      <c r="W50" s="16">
        <v>3022.0633303</v>
      </c>
      <c r="X50" s="16">
        <v>3006.5565452000001</v>
      </c>
      <c r="Y50" s="16">
        <v>2928.8209447999998</v>
      </c>
      <c r="Z50" s="16">
        <v>2904.0179284999999</v>
      </c>
      <c r="AA50" s="16">
        <v>3016.2766065999999</v>
      </c>
      <c r="AB50" s="16">
        <v>3033.5016433999999</v>
      </c>
      <c r="AC50" s="16">
        <v>2927.2932550999999</v>
      </c>
      <c r="AD50" s="16">
        <v>2857.0269546</v>
      </c>
      <c r="AE50" s="10">
        <v>2587.7058080000002</v>
      </c>
      <c r="AF50" s="15">
        <v>2359.7100329999998</v>
      </c>
    </row>
    <row r="51" spans="1:32">
      <c r="A51" s="39">
        <f>VLOOKUP("&lt;Zeilentitel_41&gt;",Uebersetzungen!$B$3:$E$294,Uebersetzungen!$B$2+1,FALSE)</f>
        <v>72</v>
      </c>
      <c r="B51" s="8" t="str">
        <f>VLOOKUP("&lt;Zeilentitel_41.1&gt;",Uebersetzungen!$B$3:$E$294,Uebersetzungen!$B$2+1,FALSE)</f>
        <v>Forschung und Entwicklung</v>
      </c>
      <c r="D51" s="9">
        <v>513</v>
      </c>
      <c r="E51" s="16">
        <v>503</v>
      </c>
      <c r="F51" s="16">
        <v>481</v>
      </c>
      <c r="G51" s="16">
        <v>455</v>
      </c>
      <c r="H51" s="16">
        <v>429</v>
      </c>
      <c r="I51" s="16">
        <v>429</v>
      </c>
      <c r="J51" s="16">
        <v>439</v>
      </c>
      <c r="K51" s="16">
        <v>449</v>
      </c>
      <c r="L51" s="16">
        <v>439</v>
      </c>
      <c r="M51" s="16">
        <v>449</v>
      </c>
      <c r="N51" s="16">
        <v>446</v>
      </c>
      <c r="O51" s="16">
        <v>419</v>
      </c>
      <c r="P51" s="10">
        <v>310</v>
      </c>
      <c r="Q51" s="15">
        <v>340</v>
      </c>
      <c r="S51" s="9">
        <v>445.36275019999999</v>
      </c>
      <c r="T51" s="16">
        <v>430.53</v>
      </c>
      <c r="U51" s="16">
        <v>414.52762749999999</v>
      </c>
      <c r="V51" s="16">
        <v>391.21147919999999</v>
      </c>
      <c r="W51" s="16">
        <v>362.93039750000003</v>
      </c>
      <c r="X51" s="16">
        <v>364.00679500000001</v>
      </c>
      <c r="Y51" s="16">
        <v>364.42929020000003</v>
      </c>
      <c r="Z51" s="16">
        <v>380.80043080000002</v>
      </c>
      <c r="AA51" s="16">
        <v>375.27300969999999</v>
      </c>
      <c r="AB51" s="16">
        <v>383.35320680000001</v>
      </c>
      <c r="AC51" s="16">
        <v>374.72721569999999</v>
      </c>
      <c r="AD51" s="16">
        <v>354.20956719999998</v>
      </c>
      <c r="AE51" s="10">
        <v>272.18493619999998</v>
      </c>
      <c r="AF51" s="15">
        <v>302.66097680000001</v>
      </c>
    </row>
    <row r="52" spans="1:32">
      <c r="A52" s="39" t="str">
        <f>VLOOKUP("&lt;Zeilentitel_42&gt;",Uebersetzungen!$B$3:$E$294,Uebersetzungen!$B$2+1,FALSE)</f>
        <v>73 bis 75</v>
      </c>
      <c r="B52" s="8" t="str">
        <f>VLOOKUP("&lt;Zeilentitel_42.1&gt;",Uebersetzungen!$B$3:$E$294,Uebersetzungen!$B$2+1,FALSE)</f>
        <v>Sonstige freiberufliche, wissenschaftliche und technische Tätigkeiten</v>
      </c>
      <c r="D52" s="9">
        <v>1370</v>
      </c>
      <c r="E52" s="16">
        <v>1294</v>
      </c>
      <c r="F52" s="16">
        <v>1256</v>
      </c>
      <c r="G52" s="16">
        <v>1235</v>
      </c>
      <c r="H52" s="16">
        <v>1193</v>
      </c>
      <c r="I52" s="16">
        <v>1164</v>
      </c>
      <c r="J52" s="16">
        <v>1129</v>
      </c>
      <c r="K52" s="16">
        <v>1114</v>
      </c>
      <c r="L52" s="16">
        <v>1124</v>
      </c>
      <c r="M52" s="16">
        <v>1003</v>
      </c>
      <c r="N52" s="16">
        <v>955</v>
      </c>
      <c r="O52" s="16">
        <v>912</v>
      </c>
      <c r="P52" s="10">
        <v>813</v>
      </c>
      <c r="Q52" s="15">
        <v>825</v>
      </c>
      <c r="S52" s="9">
        <v>929.03967709999995</v>
      </c>
      <c r="T52" s="16">
        <v>889.85</v>
      </c>
      <c r="U52" s="16">
        <v>885.8217611</v>
      </c>
      <c r="V52" s="16">
        <v>863.00638219999996</v>
      </c>
      <c r="W52" s="16">
        <v>866.30777920000003</v>
      </c>
      <c r="X52" s="16">
        <v>830.06622489999995</v>
      </c>
      <c r="Y52" s="16">
        <v>811.97802560000002</v>
      </c>
      <c r="Z52" s="16">
        <v>768.1878888</v>
      </c>
      <c r="AA52" s="16">
        <v>766.86858459999996</v>
      </c>
      <c r="AB52" s="16">
        <v>693.49827649999997</v>
      </c>
      <c r="AC52" s="16">
        <v>663.42562369999996</v>
      </c>
      <c r="AD52" s="16">
        <v>630.73726320000003</v>
      </c>
      <c r="AE52" s="10">
        <v>576.99423739999997</v>
      </c>
      <c r="AF52" s="15">
        <v>547.47833109999999</v>
      </c>
    </row>
    <row r="53" spans="1:32">
      <c r="A53" s="39" t="str">
        <f>VLOOKUP("&lt;Zeilentitel_43&gt;",Uebersetzungen!$B$3:$E$294,Uebersetzungen!$B$2+1,FALSE)</f>
        <v>77 + 79 bis 82</v>
      </c>
      <c r="B53" s="8" t="str">
        <f>VLOOKUP("&lt;Zeilentitel_43.1&gt;",Uebersetzungen!$B$3:$E$294,Uebersetzungen!$B$2+1,FALSE)</f>
        <v>Erbringung von sonstigen wirtschaftlichen Dienstleistungen</v>
      </c>
      <c r="D53" s="9">
        <v>4468</v>
      </c>
      <c r="E53" s="16">
        <v>4335</v>
      </c>
      <c r="F53" s="16">
        <v>4215</v>
      </c>
      <c r="G53" s="16">
        <v>4176</v>
      </c>
      <c r="H53" s="16">
        <v>3990</v>
      </c>
      <c r="I53" s="16">
        <v>3876</v>
      </c>
      <c r="J53" s="16">
        <v>3806</v>
      </c>
      <c r="K53" s="16">
        <v>3576</v>
      </c>
      <c r="L53" s="16">
        <v>3678</v>
      </c>
      <c r="M53" s="16">
        <v>3504</v>
      </c>
      <c r="N53" s="16">
        <v>3394</v>
      </c>
      <c r="O53" s="16">
        <v>3221</v>
      </c>
      <c r="P53" s="10">
        <v>3176</v>
      </c>
      <c r="Q53" s="15">
        <v>2742</v>
      </c>
      <c r="S53" s="9">
        <v>3067.0596819000002</v>
      </c>
      <c r="T53" s="16">
        <v>2964.49</v>
      </c>
      <c r="U53" s="16">
        <v>2802.1960024999998</v>
      </c>
      <c r="V53" s="16">
        <v>2826.6982549999998</v>
      </c>
      <c r="W53" s="16">
        <v>2766.5335642</v>
      </c>
      <c r="X53" s="16">
        <v>2686.8281351000001</v>
      </c>
      <c r="Y53" s="16">
        <v>2587.6799707</v>
      </c>
      <c r="Z53" s="16">
        <v>2446.8015065999998</v>
      </c>
      <c r="AA53" s="16">
        <v>2466.6215235999998</v>
      </c>
      <c r="AB53" s="16">
        <v>2364.0041412</v>
      </c>
      <c r="AC53" s="16">
        <v>2326.4224973</v>
      </c>
      <c r="AD53" s="16">
        <v>2215.3839899</v>
      </c>
      <c r="AE53" s="10">
        <v>2021.862059</v>
      </c>
      <c r="AF53" s="15">
        <v>1695.3352829999999</v>
      </c>
    </row>
    <row r="54" spans="1:32">
      <c r="A54" s="39">
        <f>VLOOKUP("&lt;Zeilentitel_44&gt;",Uebersetzungen!$B$3:$E$294,Uebersetzungen!$B$2+1,FALSE)</f>
        <v>78</v>
      </c>
      <c r="B54" s="8" t="str">
        <f>VLOOKUP("&lt;Zeilentitel_44.1&gt;",Uebersetzungen!$B$3:$E$294,Uebersetzungen!$B$2+1,FALSE)</f>
        <v>Vermittlung und Überlassung von Arbeitskräften</v>
      </c>
      <c r="D54" s="9">
        <v>646</v>
      </c>
      <c r="E54" s="16">
        <v>1176</v>
      </c>
      <c r="F54" s="16">
        <v>800</v>
      </c>
      <c r="G54" s="16">
        <v>1083</v>
      </c>
      <c r="H54" s="16">
        <v>1067</v>
      </c>
      <c r="I54" s="16">
        <v>1053</v>
      </c>
      <c r="J54" s="16">
        <v>1043</v>
      </c>
      <c r="K54" s="16">
        <v>949</v>
      </c>
      <c r="L54" s="16">
        <v>940</v>
      </c>
      <c r="M54" s="16">
        <v>916</v>
      </c>
      <c r="N54" s="16">
        <v>1064</v>
      </c>
      <c r="O54" s="16">
        <v>940</v>
      </c>
      <c r="P54" s="10">
        <v>729</v>
      </c>
      <c r="Q54" s="15">
        <v>466</v>
      </c>
      <c r="S54" s="9">
        <v>487.41852710000001</v>
      </c>
      <c r="T54" s="16">
        <v>884.86</v>
      </c>
      <c r="U54" s="16">
        <v>628.48394540000004</v>
      </c>
      <c r="V54" s="16">
        <v>821.58195420000004</v>
      </c>
      <c r="W54" s="16">
        <v>821.74295329999995</v>
      </c>
      <c r="X54" s="16">
        <v>781.02489439999999</v>
      </c>
      <c r="Y54" s="16">
        <v>797.23807850000003</v>
      </c>
      <c r="Z54" s="16">
        <v>724.31294860000003</v>
      </c>
      <c r="AA54" s="16">
        <v>641.13046959999997</v>
      </c>
      <c r="AB54" s="16">
        <v>637.80494710000005</v>
      </c>
      <c r="AC54" s="16">
        <v>769.79507450000006</v>
      </c>
      <c r="AD54" s="16">
        <v>693.51164040000003</v>
      </c>
      <c r="AE54" s="10">
        <v>407.43160669999997</v>
      </c>
      <c r="AF54" s="15">
        <v>350.7455842</v>
      </c>
    </row>
    <row r="55" spans="1:32">
      <c r="A55" s="39">
        <f>VLOOKUP("&lt;Zeilentitel_45&gt;",Uebersetzungen!$B$3:$E$294,Uebersetzungen!$B$2+1,FALSE)</f>
        <v>84</v>
      </c>
      <c r="B55" s="8" t="str">
        <f>VLOOKUP("&lt;Zeilentitel_45.1&gt;",Uebersetzungen!$B$3:$E$294,Uebersetzungen!$B$2+1,FALSE)</f>
        <v>Öffentliche Verwaltung, Verteidigung; Sozialversicherung</v>
      </c>
      <c r="D55" s="9">
        <v>4774</v>
      </c>
      <c r="E55" s="16">
        <v>4626</v>
      </c>
      <c r="F55" s="16">
        <v>4515</v>
      </c>
      <c r="G55" s="16">
        <v>4380</v>
      </c>
      <c r="H55" s="16">
        <v>4315</v>
      </c>
      <c r="I55" s="16">
        <v>4232</v>
      </c>
      <c r="J55" s="16">
        <v>4112</v>
      </c>
      <c r="K55" s="16">
        <v>4071</v>
      </c>
      <c r="L55" s="16">
        <v>4482</v>
      </c>
      <c r="M55" s="16">
        <v>4397</v>
      </c>
      <c r="N55" s="16">
        <v>4196</v>
      </c>
      <c r="O55" s="16">
        <v>4067</v>
      </c>
      <c r="P55" s="10">
        <v>4175</v>
      </c>
      <c r="Q55" s="15">
        <v>3899</v>
      </c>
      <c r="S55" s="9">
        <v>3843.9370520000002</v>
      </c>
      <c r="T55" s="16">
        <v>3758.84</v>
      </c>
      <c r="U55" s="16">
        <v>3682.8248159999998</v>
      </c>
      <c r="V55" s="16">
        <v>3565.03</v>
      </c>
      <c r="W55" s="16">
        <v>3508.5951799999998</v>
      </c>
      <c r="X55" s="16">
        <v>3449.5571172</v>
      </c>
      <c r="Y55" s="16">
        <v>3374.9977687000001</v>
      </c>
      <c r="Z55" s="16">
        <v>3327.4919896000001</v>
      </c>
      <c r="AA55" s="16">
        <v>3677.2622887000002</v>
      </c>
      <c r="AB55" s="16">
        <v>3592.4068944000001</v>
      </c>
      <c r="AC55" s="16">
        <v>3372.0496002</v>
      </c>
      <c r="AD55" s="16">
        <v>3285.4466309999998</v>
      </c>
      <c r="AE55" s="10">
        <v>3303.9853969999999</v>
      </c>
      <c r="AF55" s="15">
        <v>3133.0533869999999</v>
      </c>
    </row>
    <row r="56" spans="1:32">
      <c r="A56" s="39">
        <f>VLOOKUP("&lt;Zeilentitel_46&gt;",Uebersetzungen!$B$3:$E$294,Uebersetzungen!$B$2+1,FALSE)</f>
        <v>85</v>
      </c>
      <c r="B56" s="8" t="str">
        <f>VLOOKUP("&lt;Zeilentitel_46.1&gt;",Uebersetzungen!$B$3:$E$294,Uebersetzungen!$B$2+1,FALSE)</f>
        <v>Erziehung und Unterricht</v>
      </c>
      <c r="D56" s="9">
        <v>10044</v>
      </c>
      <c r="E56" s="16">
        <v>9649</v>
      </c>
      <c r="F56" s="16">
        <v>9429</v>
      </c>
      <c r="G56" s="16">
        <v>9653</v>
      </c>
      <c r="H56" s="16">
        <v>9494</v>
      </c>
      <c r="I56" s="16">
        <v>9083</v>
      </c>
      <c r="J56" s="16">
        <v>8956</v>
      </c>
      <c r="K56" s="16">
        <v>8804</v>
      </c>
      <c r="L56" s="16">
        <v>8586</v>
      </c>
      <c r="M56" s="16">
        <v>8278</v>
      </c>
      <c r="N56" s="16">
        <v>8213</v>
      </c>
      <c r="O56" s="16">
        <v>7977</v>
      </c>
      <c r="P56" s="10">
        <v>6297</v>
      </c>
      <c r="Q56" s="15">
        <v>6349</v>
      </c>
      <c r="S56" s="9">
        <v>5740.3959478999996</v>
      </c>
      <c r="T56" s="16">
        <v>5677.57</v>
      </c>
      <c r="U56" s="16">
        <v>5575.6627064000004</v>
      </c>
      <c r="V56" s="16">
        <v>5840.2191253999999</v>
      </c>
      <c r="W56" s="16">
        <v>5992.5966177999999</v>
      </c>
      <c r="X56" s="16">
        <v>5468.8286351999996</v>
      </c>
      <c r="Y56" s="16">
        <v>5241.4481599999999</v>
      </c>
      <c r="Z56" s="16">
        <v>5060.5574550000001</v>
      </c>
      <c r="AA56" s="16">
        <v>4926.6711931999998</v>
      </c>
      <c r="AB56" s="16">
        <v>4752.3984965999998</v>
      </c>
      <c r="AC56" s="16">
        <v>4779.6999251999996</v>
      </c>
      <c r="AD56" s="16">
        <v>4665.8566903000001</v>
      </c>
      <c r="AE56" s="10">
        <v>3719.6699899999999</v>
      </c>
      <c r="AF56" s="15">
        <v>3815.3874369999999</v>
      </c>
    </row>
    <row r="57" spans="1:32">
      <c r="A57" s="39">
        <f>VLOOKUP("&lt;Zeilentitel_47&gt;",Uebersetzungen!$B$3:$E$294,Uebersetzungen!$B$2+1,FALSE)</f>
        <v>86</v>
      </c>
      <c r="B57" s="8" t="str">
        <f>VLOOKUP("&lt;Zeilentitel_47.1&gt;",Uebersetzungen!$B$3:$E$294,Uebersetzungen!$B$2+1,FALSE)</f>
        <v>Gesundheitswesen</v>
      </c>
      <c r="D57" s="9">
        <v>11208</v>
      </c>
      <c r="E57" s="16">
        <v>10873</v>
      </c>
      <c r="F57" s="16">
        <v>10305</v>
      </c>
      <c r="G57" s="16">
        <v>10134</v>
      </c>
      <c r="H57" s="16">
        <v>10054</v>
      </c>
      <c r="I57" s="16">
        <v>9680</v>
      </c>
      <c r="J57" s="16">
        <v>9557</v>
      </c>
      <c r="K57" s="16">
        <v>9398</v>
      </c>
      <c r="L57" s="16">
        <v>9201</v>
      </c>
      <c r="M57" s="16">
        <v>8865</v>
      </c>
      <c r="N57" s="16">
        <v>8598</v>
      </c>
      <c r="O57" s="16">
        <v>8477</v>
      </c>
      <c r="P57" s="10">
        <v>7701</v>
      </c>
      <c r="Q57" s="15">
        <v>7129</v>
      </c>
      <c r="S57" s="9">
        <v>7602.7233253000004</v>
      </c>
      <c r="T57" s="16">
        <v>7304.21</v>
      </c>
      <c r="U57" s="16">
        <v>7028.8929392999999</v>
      </c>
      <c r="V57" s="16">
        <v>6936.3530985999996</v>
      </c>
      <c r="W57" s="16">
        <v>7067.0917382999996</v>
      </c>
      <c r="X57" s="16">
        <v>6684.9158152</v>
      </c>
      <c r="Y57" s="16">
        <v>6538.1856326999996</v>
      </c>
      <c r="Z57" s="16">
        <v>6361.3319014999997</v>
      </c>
      <c r="AA57" s="16">
        <v>6247.5014055000001</v>
      </c>
      <c r="AB57" s="16">
        <v>6090.8132720000003</v>
      </c>
      <c r="AC57" s="16">
        <v>5866.3450046999997</v>
      </c>
      <c r="AD57" s="16">
        <v>5814.1411681999998</v>
      </c>
      <c r="AE57" s="10">
        <v>5426.0988440000001</v>
      </c>
      <c r="AF57" s="15">
        <v>5109.6494679999996</v>
      </c>
    </row>
    <row r="58" spans="1:32">
      <c r="A58" s="39">
        <f>VLOOKUP("&lt;Zeilentitel_48&gt;",Uebersetzungen!$B$3:$E$294,Uebersetzungen!$B$2+1,FALSE)</f>
        <v>87</v>
      </c>
      <c r="B58" s="8" t="str">
        <f>VLOOKUP("&lt;Zeilentitel_48.1&gt;",Uebersetzungen!$B$3:$E$294,Uebersetzungen!$B$2+1,FALSE)</f>
        <v>Heime (ohne Erholungs- und Ferienheime)</v>
      </c>
      <c r="D58" s="9">
        <v>4997</v>
      </c>
      <c r="E58" s="16">
        <v>4898</v>
      </c>
      <c r="F58" s="16">
        <v>4925</v>
      </c>
      <c r="G58" s="16">
        <v>4814</v>
      </c>
      <c r="H58" s="16">
        <v>4640</v>
      </c>
      <c r="I58" s="16">
        <v>4623</v>
      </c>
      <c r="J58" s="16">
        <v>4465</v>
      </c>
      <c r="K58" s="16">
        <v>4358</v>
      </c>
      <c r="L58" s="16">
        <v>4317</v>
      </c>
      <c r="M58" s="16">
        <v>4282</v>
      </c>
      <c r="N58" s="16">
        <v>4302</v>
      </c>
      <c r="O58" s="16">
        <v>4175</v>
      </c>
      <c r="P58" s="10">
        <v>3944</v>
      </c>
      <c r="Q58" s="15">
        <v>3558</v>
      </c>
      <c r="S58" s="9">
        <v>3378.7559285000002</v>
      </c>
      <c r="T58" s="16">
        <v>3289.18</v>
      </c>
      <c r="U58" s="16">
        <v>3326.2794591000002</v>
      </c>
      <c r="V58" s="16">
        <v>3268.0637535999999</v>
      </c>
      <c r="W58" s="16">
        <v>3222.0332475</v>
      </c>
      <c r="X58" s="16">
        <v>3206.0825402999999</v>
      </c>
      <c r="Y58" s="16">
        <v>3117.3765416000001</v>
      </c>
      <c r="Z58" s="16">
        <v>3003.0258177999999</v>
      </c>
      <c r="AA58" s="16">
        <v>2953.9344000999999</v>
      </c>
      <c r="AB58" s="16">
        <v>2926.0386672999998</v>
      </c>
      <c r="AC58" s="16">
        <v>2900.4493917999998</v>
      </c>
      <c r="AD58" s="16">
        <v>2795.6589266000001</v>
      </c>
      <c r="AE58" s="10">
        <v>2748.2852939999998</v>
      </c>
      <c r="AF58" s="15">
        <v>2370.2680099999998</v>
      </c>
    </row>
    <row r="59" spans="1:32">
      <c r="A59" s="39">
        <f>VLOOKUP("&lt;Zeilentitel_49&gt;",Uebersetzungen!$B$3:$E$294,Uebersetzungen!$B$2+1,FALSE)</f>
        <v>88</v>
      </c>
      <c r="B59" s="8" t="str">
        <f>VLOOKUP("&lt;Zeilentitel_49.1&gt;",Uebersetzungen!$B$3:$E$294,Uebersetzungen!$B$2+1,FALSE)</f>
        <v xml:space="preserve">Sozialwesen (ohne Heime)
</v>
      </c>
      <c r="D59" s="9">
        <v>1828</v>
      </c>
      <c r="E59" s="16">
        <v>1795</v>
      </c>
      <c r="F59" s="16">
        <v>1767</v>
      </c>
      <c r="G59" s="16">
        <v>1792</v>
      </c>
      <c r="H59" s="16">
        <v>1741</v>
      </c>
      <c r="I59" s="16">
        <v>1679</v>
      </c>
      <c r="J59" s="16">
        <v>1663</v>
      </c>
      <c r="K59" s="16">
        <v>1578</v>
      </c>
      <c r="L59" s="16">
        <v>1558</v>
      </c>
      <c r="M59" s="16">
        <v>1615</v>
      </c>
      <c r="N59" s="16">
        <v>1452</v>
      </c>
      <c r="O59" s="16">
        <v>1468</v>
      </c>
      <c r="P59" s="10">
        <v>1676</v>
      </c>
      <c r="Q59" s="15">
        <v>1610</v>
      </c>
      <c r="S59" s="9">
        <v>978.11359270000003</v>
      </c>
      <c r="T59" s="16">
        <v>956.69</v>
      </c>
      <c r="U59" s="16">
        <v>945.65072910000004</v>
      </c>
      <c r="V59" s="16">
        <v>965.45368259999998</v>
      </c>
      <c r="W59" s="16">
        <v>946.35341879999999</v>
      </c>
      <c r="X59" s="16">
        <v>926.39111960000002</v>
      </c>
      <c r="Y59" s="16">
        <v>892.67678860000001</v>
      </c>
      <c r="Z59" s="16">
        <v>850.07973679999998</v>
      </c>
      <c r="AA59" s="16">
        <v>856.38845809999998</v>
      </c>
      <c r="AB59" s="16">
        <v>818.49988659999997</v>
      </c>
      <c r="AC59" s="16">
        <v>719.49746849999997</v>
      </c>
      <c r="AD59" s="16">
        <v>684.53115869999999</v>
      </c>
      <c r="AE59" s="10">
        <v>953.86504279999997</v>
      </c>
      <c r="AF59" s="15">
        <v>839.78294300000005</v>
      </c>
    </row>
    <row r="60" spans="1:32">
      <c r="A60" s="39" t="str">
        <f>VLOOKUP("&lt;Zeilentitel_50&gt;",Uebersetzungen!$B$3:$E$294,Uebersetzungen!$B$2+1,FALSE)</f>
        <v>90 bis 93</v>
      </c>
      <c r="B60" s="8" t="str">
        <f>VLOOKUP("&lt;Zeilentitel_50.1&gt;",Uebersetzungen!$B$3:$E$294,Uebersetzungen!$B$2+1,FALSE)</f>
        <v>Kunst, Unterhaltung und Erholung</v>
      </c>
      <c r="D60" s="9">
        <v>2842</v>
      </c>
      <c r="E60" s="16">
        <v>2551</v>
      </c>
      <c r="F60" s="16">
        <v>2360</v>
      </c>
      <c r="G60" s="16">
        <v>2439</v>
      </c>
      <c r="H60" s="16">
        <v>2314</v>
      </c>
      <c r="I60" s="16">
        <v>2314</v>
      </c>
      <c r="J60" s="16">
        <v>2256</v>
      </c>
      <c r="K60" s="16">
        <v>2060</v>
      </c>
      <c r="L60" s="16">
        <v>2052</v>
      </c>
      <c r="M60" s="16">
        <v>1903</v>
      </c>
      <c r="N60" s="16">
        <v>1808</v>
      </c>
      <c r="O60" s="16">
        <v>1679</v>
      </c>
      <c r="P60" s="10">
        <v>1783</v>
      </c>
      <c r="Q60" s="15">
        <v>1617</v>
      </c>
      <c r="S60" s="9">
        <v>1508.3153006</v>
      </c>
      <c r="T60" s="16">
        <v>1436.11</v>
      </c>
      <c r="U60" s="16">
        <v>1317.7899405999999</v>
      </c>
      <c r="V60" s="16">
        <v>1269.4058287</v>
      </c>
      <c r="W60" s="16">
        <v>1268.7594876999999</v>
      </c>
      <c r="X60" s="16">
        <v>1219.8441367</v>
      </c>
      <c r="Y60" s="16">
        <v>1193.0279886000001</v>
      </c>
      <c r="Z60" s="16">
        <v>1131.9286279999999</v>
      </c>
      <c r="AA60" s="16">
        <v>1111.267619</v>
      </c>
      <c r="AB60" s="16">
        <v>1029.2160034999999</v>
      </c>
      <c r="AC60" s="16">
        <v>1000.9008232</v>
      </c>
      <c r="AD60" s="16">
        <v>915.07401100000004</v>
      </c>
      <c r="AE60" s="10">
        <v>944.92064029999995</v>
      </c>
      <c r="AF60" s="15">
        <v>850.58923830000003</v>
      </c>
    </row>
    <row r="61" spans="1:32">
      <c r="A61" s="39" t="str">
        <f>VLOOKUP("&lt;Zeilentitel_51&gt;",Uebersetzungen!$B$3:$E$294,Uebersetzungen!$B$2+1,FALSE)</f>
        <v>94 bis 96</v>
      </c>
      <c r="B61" s="8" t="str">
        <f>VLOOKUP("&lt;Zeilentitel_51.1&gt;",Uebersetzungen!$B$3:$E$294,Uebersetzungen!$B$2+1,FALSE)</f>
        <v>Erbringung von sonstigen Dienstleistungen</v>
      </c>
      <c r="D61" s="9">
        <v>4387</v>
      </c>
      <c r="E61" s="16">
        <v>4232</v>
      </c>
      <c r="F61" s="16">
        <v>4005</v>
      </c>
      <c r="G61" s="16">
        <v>4174</v>
      </c>
      <c r="H61" s="16">
        <v>4056</v>
      </c>
      <c r="I61" s="16">
        <v>4017</v>
      </c>
      <c r="J61" s="16">
        <v>3961</v>
      </c>
      <c r="K61" s="16">
        <v>4015</v>
      </c>
      <c r="L61" s="16">
        <v>4067</v>
      </c>
      <c r="M61" s="16">
        <v>3897</v>
      </c>
      <c r="N61" s="16">
        <v>3865</v>
      </c>
      <c r="O61" s="16">
        <v>3871</v>
      </c>
      <c r="P61" s="16">
        <v>3521</v>
      </c>
      <c r="Q61" s="15">
        <v>3255</v>
      </c>
      <c r="S61" s="9">
        <v>2689.8441151000002</v>
      </c>
      <c r="T61" s="16">
        <v>2559.4299999999998</v>
      </c>
      <c r="U61" s="16">
        <v>2448.1768133999999</v>
      </c>
      <c r="V61" s="16">
        <v>2539.4098214000001</v>
      </c>
      <c r="W61" s="16">
        <v>2573.6431097</v>
      </c>
      <c r="X61" s="16">
        <v>2476.5380814</v>
      </c>
      <c r="Y61" s="16">
        <v>2468.6724691999998</v>
      </c>
      <c r="Z61" s="16">
        <v>2525.2846712999999</v>
      </c>
      <c r="AA61" s="16">
        <v>2599.9135061000002</v>
      </c>
      <c r="AB61" s="16">
        <v>2491.4217936999999</v>
      </c>
      <c r="AC61" s="16">
        <v>2579.4386521000001</v>
      </c>
      <c r="AD61" s="16">
        <v>2540.8501322000002</v>
      </c>
      <c r="AE61" s="16">
        <v>2146.1057460000002</v>
      </c>
      <c r="AF61" s="15">
        <v>2063.368563</v>
      </c>
    </row>
    <row r="62" spans="1:32">
      <c r="A62" s="40" t="str">
        <f>VLOOKUP("&lt;Zeilentitel_52&gt;",Uebersetzungen!$B$3:$E$294,Uebersetzungen!$B$2+1,FALSE)</f>
        <v>Tertiärer Sektor</v>
      </c>
      <c r="B62" s="12"/>
      <c r="D62" s="13">
        <v>103866</v>
      </c>
      <c r="E62" s="45">
        <v>100116</v>
      </c>
      <c r="F62" s="45">
        <v>96846</v>
      </c>
      <c r="G62" s="45">
        <v>98548</v>
      </c>
      <c r="H62" s="45">
        <v>96565</v>
      </c>
      <c r="I62" s="45">
        <v>95035</v>
      </c>
      <c r="J62" s="45">
        <v>94312</v>
      </c>
      <c r="K62" s="45">
        <v>93310</v>
      </c>
      <c r="L62" s="45">
        <v>94453</v>
      </c>
      <c r="M62" s="45">
        <v>93337</v>
      </c>
      <c r="N62" s="45">
        <v>91991</v>
      </c>
      <c r="O62" s="45">
        <v>90730</v>
      </c>
      <c r="P62" s="17">
        <v>84127</v>
      </c>
      <c r="Q62" s="14">
        <v>80493</v>
      </c>
      <c r="S62" s="13">
        <v>76013.916623699988</v>
      </c>
      <c r="T62" s="45">
        <v>73471.479999999981</v>
      </c>
      <c r="U62" s="45">
        <v>71407.5327789</v>
      </c>
      <c r="V62" s="45">
        <v>72210.199402099985</v>
      </c>
      <c r="W62" s="45">
        <v>71991.999465300003</v>
      </c>
      <c r="X62" s="45">
        <v>70215.852816400002</v>
      </c>
      <c r="Y62" s="45">
        <v>69571.729826099996</v>
      </c>
      <c r="Z62" s="45">
        <v>68528.240486299997</v>
      </c>
      <c r="AA62" s="45">
        <v>69547.25578610001</v>
      </c>
      <c r="AB62" s="45">
        <v>68817.57784860002</v>
      </c>
      <c r="AC62" s="45">
        <v>67784.832582500007</v>
      </c>
      <c r="AD62" s="45">
        <v>66715.037310499989</v>
      </c>
      <c r="AE62" s="17">
        <v>62439.520806429995</v>
      </c>
      <c r="AF62" s="14">
        <v>59858.629451899993</v>
      </c>
    </row>
    <row r="63" spans="1:32" ht="15">
      <c r="A63" s="41" t="str">
        <f>VLOOKUP("&lt;Zeilentitel_53&gt;",Uebersetzungen!$B$3:$E$294,Uebersetzungen!$B$2+1,FALSE)</f>
        <v>Total</v>
      </c>
      <c r="B63" s="18" t="str">
        <f>VLOOKUP("&lt;Zeilentitel_53.1&gt;",Uebersetzungen!$B$3:$E$294,Uebersetzungen!$B$2+1,FALSE)</f>
        <v>Total</v>
      </c>
      <c r="D63" s="19">
        <v>138904</v>
      </c>
      <c r="E63" s="20">
        <v>134905</v>
      </c>
      <c r="F63" s="20">
        <v>131286</v>
      </c>
      <c r="G63" s="20">
        <v>132626</v>
      </c>
      <c r="H63" s="20">
        <v>130739</v>
      </c>
      <c r="I63" s="20">
        <v>128912</v>
      </c>
      <c r="J63" s="20">
        <v>128094</v>
      </c>
      <c r="K63" s="20">
        <v>126865</v>
      </c>
      <c r="L63" s="20">
        <v>128500</v>
      </c>
      <c r="M63" s="20">
        <v>127487</v>
      </c>
      <c r="N63" s="20">
        <v>126173</v>
      </c>
      <c r="O63" s="20">
        <v>124936</v>
      </c>
      <c r="P63" s="20">
        <v>119010</v>
      </c>
      <c r="Q63" s="21">
        <v>114673</v>
      </c>
      <c r="S63" s="19">
        <v>105949.3703158</v>
      </c>
      <c r="T63" s="20">
        <v>103067.83</v>
      </c>
      <c r="U63" s="20">
        <v>100793.3528661</v>
      </c>
      <c r="V63" s="20">
        <v>101231.45272579999</v>
      </c>
      <c r="W63" s="20">
        <v>101172.3829217</v>
      </c>
      <c r="X63" s="20">
        <v>98951.965723500005</v>
      </c>
      <c r="Y63" s="20">
        <v>98118.4431511</v>
      </c>
      <c r="Z63" s="20">
        <v>97037.391641599999</v>
      </c>
      <c r="AA63" s="20">
        <v>98346.7732541</v>
      </c>
      <c r="AB63" s="20">
        <v>97823.362216100024</v>
      </c>
      <c r="AC63" s="20">
        <v>96733.388077700016</v>
      </c>
      <c r="AD63" s="20">
        <v>95531.023164399987</v>
      </c>
      <c r="AE63" s="20">
        <v>91789.340195339988</v>
      </c>
      <c r="AF63" s="21">
        <v>88379.852442039992</v>
      </c>
    </row>
    <row r="65" spans="1:1">
      <c r="A65" s="7" t="str">
        <f>VLOOKUP("&lt;Legende_1&gt;",Uebersetzungen!$B$3:$E$315,Uebersetzungen!$B$2+1,FALSE)</f>
        <v>*Die Werte 2005 und 2008 basieren auf einem Schätzmodell, welches  die STATENT-Methode für die entsprechenden Jahre simuliert.</v>
      </c>
    </row>
    <row r="67" spans="1:1">
      <c r="A67" s="7" t="str">
        <f>VLOOKUP("&lt;Quelle_1&gt;",Uebersetzungen!$B$3:$E$315,Uebersetzungen!$B$2+1,FALSE)</f>
        <v>Quelle: BFS (STATENT)</v>
      </c>
    </row>
    <row r="68" spans="1:1">
      <c r="A68" s="7" t="str">
        <f>VLOOKUP("&lt;Aktualisierung&gt;",Uebersetzungen!$B$3:$E$315,Uebersetzungen!$B$2+1,FALSE)</f>
        <v>Letztmals aktualisiert am: 22.08.2024</v>
      </c>
    </row>
  </sheetData>
  <sheetProtection sheet="1" objects="1" scenarios="1"/>
  <mergeCells count="2">
    <mergeCell ref="S10:AF10"/>
    <mergeCell ref="D10:Q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8"/>
  <sheetViews>
    <sheetView zoomScaleNormal="100" workbookViewId="0">
      <pane xSplit="2" topLeftCell="C1" activePane="topRight" state="frozen"/>
      <selection activeCell="A8" sqref="A8"/>
      <selection pane="topRight"/>
    </sheetView>
  </sheetViews>
  <sheetFormatPr baseColWidth="10" defaultRowHeight="14.25"/>
  <cols>
    <col min="1" max="1" width="14" style="7" customWidth="1"/>
    <col min="2" max="2" width="118.5703125" style="7" bestFit="1" customWidth="1"/>
    <col min="3" max="3" width="1.7109375" style="7" customWidth="1"/>
    <col min="4" max="16" width="10" style="7" customWidth="1"/>
    <col min="17" max="17" width="10" style="24" customWidth="1"/>
    <col min="18" max="18" width="1.7109375" style="7" customWidth="1"/>
    <col min="19" max="31" width="10" style="7" customWidth="1"/>
    <col min="32" max="32" width="10" style="24" customWidth="1"/>
    <col min="33" max="16384" width="11.42578125" style="7"/>
  </cols>
  <sheetData>
    <row r="1" spans="1:32" s="2" customFormat="1" ht="12.75" customHeight="1">
      <c r="Q1" s="23"/>
      <c r="AF1" s="23"/>
    </row>
    <row r="2" spans="1:32" s="2" customFormat="1" ht="15.75" customHeight="1">
      <c r="B2" s="25"/>
      <c r="Q2" s="23"/>
      <c r="AF2" s="23"/>
    </row>
    <row r="3" spans="1:32" s="2" customFormat="1" ht="15.75" customHeight="1">
      <c r="B3" s="25"/>
      <c r="Q3" s="23"/>
      <c r="AF3" s="23"/>
    </row>
    <row r="4" spans="1:32" s="2" customFormat="1" ht="15.75" customHeight="1">
      <c r="B4" s="25"/>
      <c r="Q4" s="23"/>
      <c r="AF4" s="23"/>
    </row>
    <row r="5" spans="1:32" s="2" customFormat="1" ht="13.5" customHeight="1">
      <c r="Q5" s="23"/>
      <c r="AF5" s="23"/>
    </row>
    <row r="6" spans="1:32" s="1" customFormat="1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3"/>
    </row>
    <row r="7" spans="1:32" s="1" customFormat="1" ht="15.75" customHeight="1">
      <c r="A7" s="3" t="str">
        <f>VLOOKUP("&lt;Fachbereich&gt;",Uebersetzungen!$B$3:$E$294,Uebersetzungen!$B$2+1,FALSE)</f>
        <v>Daten &amp; Statistik</v>
      </c>
      <c r="B7" s="3"/>
      <c r="E7" s="55"/>
      <c r="Q7" s="22"/>
      <c r="AF7" s="22"/>
    </row>
    <row r="8" spans="1:32" s="1" customFormat="1">
      <c r="A8" s="4"/>
      <c r="B8" s="2"/>
      <c r="Q8" s="22"/>
      <c r="AF8" s="22"/>
    </row>
    <row r="9" spans="1:32" s="1" customFormat="1" ht="18" customHeight="1">
      <c r="A9" s="5" t="str">
        <f>VLOOKUP("&lt;T2Titel&gt;",Uebersetzungen!$B$3:$E$294,Uebersetzungen!$B$2+1,FALSE)</f>
        <v>Entwicklung der Beschäftigten und Vollzeitäquivalenten in der Schweiz, seit 2015</v>
      </c>
      <c r="B9" s="6"/>
      <c r="Q9" s="22"/>
      <c r="AF9" s="22"/>
    </row>
    <row r="10" spans="1:32" s="46" customFormat="1" ht="15">
      <c r="D10" s="52" t="str">
        <f>VLOOKUP("&lt;SpaltenTitel_1&gt;",Uebersetzungen!$B$3:$E$294,Uebersetzungen!$B$2+1,FALSE)</f>
        <v>Beschäftigte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S10" s="52" t="str">
        <f>VLOOKUP("&lt;SpaltenTitel_2&gt;",Uebersetzungen!$B$3:$E$294,Uebersetzungen!$B$2+1,FALSE)</f>
        <v>Vollzeitäquivalente</v>
      </c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4"/>
    </row>
    <row r="11" spans="1:32" s="44" customFormat="1">
      <c r="A11" s="42" t="str">
        <f>VLOOKUP("&lt;Zeilentitel_1&gt;",Uebersetzungen!$B$3:$E$294,Uebersetzungen!$B$2+1,FALSE)</f>
        <v>NOGA-Code</v>
      </c>
      <c r="B11" s="43" t="str">
        <f>VLOOKUP("&lt;Zeilentitel_1.1&gt;",Uebersetzungen!$B$3:$E$294,Uebersetzungen!$B$2+1,FALSE)</f>
        <v>Bezeichnung</v>
      </c>
      <c r="D11" s="47">
        <v>2022</v>
      </c>
      <c r="E11" s="48">
        <v>2021</v>
      </c>
      <c r="F11" s="50">
        <v>2020</v>
      </c>
      <c r="G11" s="48">
        <v>2019</v>
      </c>
      <c r="H11" s="50">
        <v>2018</v>
      </c>
      <c r="I11" s="48">
        <v>2017</v>
      </c>
      <c r="J11" s="51">
        <v>2016</v>
      </c>
      <c r="K11" s="50">
        <v>2015</v>
      </c>
      <c r="L11" s="48">
        <v>2014</v>
      </c>
      <c r="M11" s="48">
        <v>2013</v>
      </c>
      <c r="N11" s="48">
        <v>2012</v>
      </c>
      <c r="O11" s="51">
        <v>2011</v>
      </c>
      <c r="P11" s="50" t="s">
        <v>353</v>
      </c>
      <c r="Q11" s="49" t="s">
        <v>354</v>
      </c>
      <c r="S11" s="47">
        <v>2022</v>
      </c>
      <c r="T11" s="48">
        <v>2021</v>
      </c>
      <c r="U11" s="50">
        <v>2020</v>
      </c>
      <c r="V11" s="48">
        <v>2019</v>
      </c>
      <c r="W11" s="50">
        <v>2018</v>
      </c>
      <c r="X11" s="48">
        <v>2017</v>
      </c>
      <c r="Y11" s="51" t="s">
        <v>355</v>
      </c>
      <c r="Z11" s="50" t="s">
        <v>356</v>
      </c>
      <c r="AA11" s="48">
        <v>2014</v>
      </c>
      <c r="AB11" s="48">
        <v>2013</v>
      </c>
      <c r="AC11" s="48">
        <v>2012</v>
      </c>
      <c r="AD11" s="51">
        <v>2011</v>
      </c>
      <c r="AE11" s="50" t="s">
        <v>353</v>
      </c>
      <c r="AF11" s="49" t="s">
        <v>354</v>
      </c>
    </row>
    <row r="12" spans="1:32">
      <c r="A12" s="39" t="str">
        <f>VLOOKUP("&lt;Zeilentitel_2&gt;",Uebersetzungen!$B$3:$E$294,Uebersetzungen!$B$2+1,FALSE)</f>
        <v>01 bis 03</v>
      </c>
      <c r="B12" s="8" t="str">
        <f>VLOOKUP("&lt;Zeilentitel_2.1&gt;",Uebersetzungen!$B$3:$E$294,Uebersetzungen!$B$2+1,FALSE)</f>
        <v>Landwirtschaft, Forstwirtschaft und Fischerei</v>
      </c>
      <c r="D12" s="9">
        <v>159758</v>
      </c>
      <c r="E12" s="16">
        <v>160306</v>
      </c>
      <c r="F12" s="16">
        <v>159003</v>
      </c>
      <c r="G12" s="16">
        <v>159296</v>
      </c>
      <c r="H12" s="16">
        <v>161068</v>
      </c>
      <c r="I12" s="16">
        <v>162730</v>
      </c>
      <c r="J12" s="16">
        <v>162377</v>
      </c>
      <c r="K12" s="16">
        <v>164078</v>
      </c>
      <c r="L12" s="16">
        <v>166823</v>
      </c>
      <c r="M12" s="16">
        <v>167073</v>
      </c>
      <c r="N12" s="16">
        <v>170124</v>
      </c>
      <c r="O12" s="16">
        <v>171925</v>
      </c>
      <c r="P12" s="10">
        <v>201666</v>
      </c>
      <c r="Q12" s="11">
        <v>210135</v>
      </c>
      <c r="S12" s="9">
        <v>104497.91039829999</v>
      </c>
      <c r="T12" s="16">
        <v>103443.270883</v>
      </c>
      <c r="U12" s="16">
        <v>102575.0696988</v>
      </c>
      <c r="V12" s="16">
        <v>104859.99170129999</v>
      </c>
      <c r="W12" s="16">
        <v>106045.5913576</v>
      </c>
      <c r="X12" s="16">
        <v>106417.8605061</v>
      </c>
      <c r="Y12" s="16">
        <v>105387.34311820001</v>
      </c>
      <c r="Z12" s="16">
        <v>106619.83012519999</v>
      </c>
      <c r="AA12" s="16">
        <v>108243.0812572</v>
      </c>
      <c r="AB12" s="16">
        <v>108651.99485639999</v>
      </c>
      <c r="AC12" s="16">
        <v>110150.8252224</v>
      </c>
      <c r="AD12" s="16">
        <v>110769.3864717</v>
      </c>
      <c r="AE12" s="10">
        <v>122495.36274881</v>
      </c>
      <c r="AF12" s="11">
        <v>128116.39136539004</v>
      </c>
    </row>
    <row r="13" spans="1:32">
      <c r="A13" s="40" t="str">
        <f>VLOOKUP("&lt;Zeilentitel_3&gt;",Uebersetzungen!$B$3:$E$294,Uebersetzungen!$B$2+1,FALSE)</f>
        <v>Primärer Sektor</v>
      </c>
      <c r="B13" s="12"/>
      <c r="D13" s="13">
        <v>159758</v>
      </c>
      <c r="E13" s="45">
        <v>160306</v>
      </c>
      <c r="F13" s="45">
        <v>159003</v>
      </c>
      <c r="G13" s="45">
        <v>159296</v>
      </c>
      <c r="H13" s="45">
        <v>161068</v>
      </c>
      <c r="I13" s="45">
        <v>162730</v>
      </c>
      <c r="J13" s="45">
        <v>162377</v>
      </c>
      <c r="K13" s="45">
        <v>164078</v>
      </c>
      <c r="L13" s="45">
        <v>166823</v>
      </c>
      <c r="M13" s="45">
        <v>167073</v>
      </c>
      <c r="N13" s="45">
        <v>170124</v>
      </c>
      <c r="O13" s="45">
        <v>171925</v>
      </c>
      <c r="P13" s="17">
        <v>201666</v>
      </c>
      <c r="Q13" s="14">
        <v>210135</v>
      </c>
      <c r="S13" s="13">
        <v>104497.91039829999</v>
      </c>
      <c r="T13" s="45">
        <v>103443.270883</v>
      </c>
      <c r="U13" s="45">
        <v>102575.0696988</v>
      </c>
      <c r="V13" s="45">
        <v>104859.99170129999</v>
      </c>
      <c r="W13" s="45">
        <v>106045.5913576</v>
      </c>
      <c r="X13" s="45">
        <v>106417.8605061</v>
      </c>
      <c r="Y13" s="45">
        <v>105387.34311820001</v>
      </c>
      <c r="Z13" s="45">
        <v>106619.83012519999</v>
      </c>
      <c r="AA13" s="45">
        <v>108243.0812572</v>
      </c>
      <c r="AB13" s="45">
        <v>108651.99485639999</v>
      </c>
      <c r="AC13" s="45">
        <v>110150.8252224</v>
      </c>
      <c r="AD13" s="45">
        <v>110769.3864717</v>
      </c>
      <c r="AE13" s="17">
        <v>122495.36274881</v>
      </c>
      <c r="AF13" s="14">
        <v>128116.39136539004</v>
      </c>
    </row>
    <row r="14" spans="1:32">
      <c r="A14" s="39" t="str">
        <f>VLOOKUP("&lt;Zeilentitel_4&gt;",Uebersetzungen!$B$3:$E$294,Uebersetzungen!$B$2+1,FALSE)</f>
        <v>05 bis 09</v>
      </c>
      <c r="B14" s="8" t="str">
        <f>VLOOKUP("&lt;Zeilentitel_4.1&gt;",Uebersetzungen!$B$3:$E$294,Uebersetzungen!$B$2+1,FALSE)</f>
        <v>Bergbau und Gewinnung von Steinen und Erden</v>
      </c>
      <c r="D14" s="9">
        <v>4738</v>
      </c>
      <c r="E14" s="16">
        <v>5005</v>
      </c>
      <c r="F14" s="16">
        <v>4914</v>
      </c>
      <c r="G14" s="16">
        <v>4948</v>
      </c>
      <c r="H14" s="16">
        <v>4875</v>
      </c>
      <c r="I14" s="16">
        <v>4928</v>
      </c>
      <c r="J14" s="16">
        <v>4965</v>
      </c>
      <c r="K14" s="16">
        <v>5034</v>
      </c>
      <c r="L14" s="16">
        <v>5172</v>
      </c>
      <c r="M14" s="16">
        <v>5182</v>
      </c>
      <c r="N14" s="16">
        <v>5143</v>
      </c>
      <c r="O14" s="16">
        <v>5001</v>
      </c>
      <c r="P14" s="10">
        <v>5105</v>
      </c>
      <c r="Q14" s="15">
        <v>4786</v>
      </c>
      <c r="S14" s="9">
        <v>4360.4940851000001</v>
      </c>
      <c r="T14" s="16">
        <v>4596.9030350000003</v>
      </c>
      <c r="U14" s="16">
        <v>4527.8108732000001</v>
      </c>
      <c r="V14" s="16">
        <v>4512.7013401000004</v>
      </c>
      <c r="W14" s="16">
        <v>4463.7481893000004</v>
      </c>
      <c r="X14" s="16">
        <v>4514.2974671000002</v>
      </c>
      <c r="Y14" s="16">
        <v>4537.7752939000002</v>
      </c>
      <c r="Z14" s="16">
        <v>4590.8311862</v>
      </c>
      <c r="AA14" s="16">
        <v>4721.6020662999999</v>
      </c>
      <c r="AB14" s="16">
        <v>4712.0845864000003</v>
      </c>
      <c r="AC14" s="16">
        <v>4681.0777459000001</v>
      </c>
      <c r="AD14" s="16">
        <v>4576.9257354000001</v>
      </c>
      <c r="AE14" s="10">
        <v>4640.1040380499999</v>
      </c>
      <c r="AF14" s="15">
        <v>4363.7387654900003</v>
      </c>
    </row>
    <row r="15" spans="1:32">
      <c r="A15" s="39" t="str">
        <f>VLOOKUP("&lt;Zeilentitel_5&gt;",Uebersetzungen!$B$3:$E$294,Uebersetzungen!$B$2+1,FALSE)</f>
        <v>10 bis 12</v>
      </c>
      <c r="B15" s="8" t="str">
        <f>VLOOKUP("&lt;Zeilentitel_5.1&gt;",Uebersetzungen!$B$3:$E$294,Uebersetzungen!$B$2+1,FALSE)</f>
        <v>Herstellung von Nahrungs- und Genussmitteln, Getränken und Tabakerzeugnissen</v>
      </c>
      <c r="D15" s="9">
        <v>91193</v>
      </c>
      <c r="E15" s="16">
        <v>89581</v>
      </c>
      <c r="F15" s="16">
        <v>88369</v>
      </c>
      <c r="G15" s="16">
        <v>89930</v>
      </c>
      <c r="H15" s="16">
        <v>89845</v>
      </c>
      <c r="I15" s="16">
        <v>89630</v>
      </c>
      <c r="J15" s="16">
        <v>89571</v>
      </c>
      <c r="K15" s="16">
        <v>90078</v>
      </c>
      <c r="L15" s="16">
        <v>89275</v>
      </c>
      <c r="M15" s="16">
        <v>88986</v>
      </c>
      <c r="N15" s="16">
        <v>88140</v>
      </c>
      <c r="O15" s="16">
        <v>87336</v>
      </c>
      <c r="P15" s="10">
        <v>68411</v>
      </c>
      <c r="Q15" s="15">
        <v>66050</v>
      </c>
      <c r="S15" s="9">
        <v>77371.895099799993</v>
      </c>
      <c r="T15" s="16">
        <v>75775.831868599998</v>
      </c>
      <c r="U15" s="16">
        <v>75069.794229699997</v>
      </c>
      <c r="V15" s="16">
        <v>76331.255728799995</v>
      </c>
      <c r="W15" s="16">
        <v>76092.243580499999</v>
      </c>
      <c r="X15" s="16">
        <v>75905.082473600007</v>
      </c>
      <c r="Y15" s="16">
        <v>75758.600764699993</v>
      </c>
      <c r="Z15" s="16">
        <v>76334.3166776</v>
      </c>
      <c r="AA15" s="16">
        <v>75793.017474699998</v>
      </c>
      <c r="AB15" s="16">
        <v>75572.887661899993</v>
      </c>
      <c r="AC15" s="16">
        <v>74755.5105893</v>
      </c>
      <c r="AD15" s="16">
        <v>74460.719787900001</v>
      </c>
      <c r="AE15" s="10">
        <v>59775.089889300005</v>
      </c>
      <c r="AF15" s="15">
        <v>57643.622468319998</v>
      </c>
    </row>
    <row r="16" spans="1:32">
      <c r="A16" s="39" t="str">
        <f>VLOOKUP("&lt;Zeilentitel_6&gt;",Uebersetzungen!$B$3:$E$294,Uebersetzungen!$B$2+1,FALSE)</f>
        <v>13 bis 15</v>
      </c>
      <c r="B16" s="8" t="str">
        <f>VLOOKUP("&lt;Zeilentitel_6.1&gt;",Uebersetzungen!$B$3:$E$294,Uebersetzungen!$B$2+1,FALSE)</f>
        <v>Herstellung von Textilien, Bekleidung, Leder, Lederwaren und Schuhen</v>
      </c>
      <c r="D16" s="9">
        <v>14290</v>
      </c>
      <c r="E16" s="16">
        <v>14037</v>
      </c>
      <c r="F16" s="16">
        <v>14456</v>
      </c>
      <c r="G16" s="16">
        <v>14919</v>
      </c>
      <c r="H16" s="16">
        <v>14963</v>
      </c>
      <c r="I16" s="16">
        <v>15086</v>
      </c>
      <c r="J16" s="16">
        <v>15304</v>
      </c>
      <c r="K16" s="16">
        <v>15897</v>
      </c>
      <c r="L16" s="16">
        <v>16272</v>
      </c>
      <c r="M16" s="16">
        <v>16220</v>
      </c>
      <c r="N16" s="16">
        <v>16674</v>
      </c>
      <c r="O16" s="16">
        <v>17128</v>
      </c>
      <c r="P16" s="10">
        <v>19810</v>
      </c>
      <c r="Q16" s="15">
        <v>20177</v>
      </c>
      <c r="S16" s="9">
        <v>11575.5500632</v>
      </c>
      <c r="T16" s="16">
        <v>11276.8430037</v>
      </c>
      <c r="U16" s="16">
        <v>11676.926056800001</v>
      </c>
      <c r="V16" s="16">
        <v>12102.349429800001</v>
      </c>
      <c r="W16" s="16">
        <v>12151.8956069</v>
      </c>
      <c r="X16" s="16">
        <v>12131.287697399999</v>
      </c>
      <c r="Y16" s="16">
        <v>12374.226073899999</v>
      </c>
      <c r="Z16" s="16">
        <v>12891.033639900001</v>
      </c>
      <c r="AA16" s="16">
        <v>13291.9570714</v>
      </c>
      <c r="AB16" s="16">
        <v>13267.358874400001</v>
      </c>
      <c r="AC16" s="16">
        <v>13580.7253829</v>
      </c>
      <c r="AD16" s="16">
        <v>14247.0980853</v>
      </c>
      <c r="AE16" s="10">
        <v>16733.08976486</v>
      </c>
      <c r="AF16" s="15">
        <v>17153.820286730002</v>
      </c>
    </row>
    <row r="17" spans="1:32">
      <c r="A17" s="39" t="str">
        <f>VLOOKUP("&lt;Zeilentitel_7&gt;",Uebersetzungen!$B$3:$E$294,Uebersetzungen!$B$2+1,FALSE)</f>
        <v>16 bis 18</v>
      </c>
      <c r="B17" s="8" t="str">
        <f>VLOOKUP("&lt;Zeilentitel_7.1&gt;",Uebersetzungen!$B$3:$E$294,Uebersetzungen!$B$2+1,FALSE)</f>
        <v>Herstellung von Holzwaren, Papier, Pappe und Waren daraus, Herstellung von Druckerzeugnissen</v>
      </c>
      <c r="D17" s="9">
        <v>60935</v>
      </c>
      <c r="E17" s="16">
        <v>61086</v>
      </c>
      <c r="F17" s="16">
        <v>61432</v>
      </c>
      <c r="G17" s="16">
        <v>64011</v>
      </c>
      <c r="H17" s="16">
        <v>65455</v>
      </c>
      <c r="I17" s="16">
        <v>66639</v>
      </c>
      <c r="J17" s="16">
        <v>67928</v>
      </c>
      <c r="K17" s="16">
        <v>69217</v>
      </c>
      <c r="L17" s="16">
        <v>71020</v>
      </c>
      <c r="M17" s="16">
        <v>72030</v>
      </c>
      <c r="N17" s="16">
        <v>73445</v>
      </c>
      <c r="O17" s="16">
        <v>74975</v>
      </c>
      <c r="P17" s="10">
        <v>83974</v>
      </c>
      <c r="Q17" s="15">
        <v>84311</v>
      </c>
      <c r="S17" s="9">
        <v>54206.134774600003</v>
      </c>
      <c r="T17" s="16">
        <v>53964.9597507</v>
      </c>
      <c r="U17" s="16">
        <v>54545.676469999999</v>
      </c>
      <c r="V17" s="16">
        <v>56786.814550700001</v>
      </c>
      <c r="W17" s="16">
        <v>58113.4793833</v>
      </c>
      <c r="X17" s="16">
        <v>59027.320824199996</v>
      </c>
      <c r="Y17" s="16">
        <v>60039.1692415</v>
      </c>
      <c r="Z17" s="16">
        <v>61251.706649899999</v>
      </c>
      <c r="AA17" s="16">
        <v>62876.857516099997</v>
      </c>
      <c r="AB17" s="16">
        <v>63989.074438000003</v>
      </c>
      <c r="AC17" s="16">
        <v>64962.077791999996</v>
      </c>
      <c r="AD17" s="16">
        <v>66253.752503800002</v>
      </c>
      <c r="AE17" s="10">
        <v>74826.730808200024</v>
      </c>
      <c r="AF17" s="15">
        <v>75264.555370599992</v>
      </c>
    </row>
    <row r="18" spans="1:32">
      <c r="A18" s="39" t="str">
        <f>VLOOKUP("&lt;Zeilentitel_8&gt;",Uebersetzungen!$B$3:$E$294,Uebersetzungen!$B$2+1,FALSE)</f>
        <v>19 + 20</v>
      </c>
      <c r="B18" s="8" t="str">
        <f>VLOOKUP("&lt;Zeilentitel_8.1&gt;",Uebersetzungen!$B$3:$E$294,Uebersetzungen!$B$2+1,FALSE)</f>
        <v>Kokerei, Mineralölverarbeitung und Herstellung von chemischen Erzeugnissen</v>
      </c>
      <c r="D18" s="9">
        <v>30907</v>
      </c>
      <c r="E18" s="16">
        <v>30562</v>
      </c>
      <c r="F18" s="16">
        <v>28879</v>
      </c>
      <c r="G18" s="16">
        <v>29450</v>
      </c>
      <c r="H18" s="16">
        <v>29720</v>
      </c>
      <c r="I18" s="16">
        <v>29492</v>
      </c>
      <c r="J18" s="16">
        <v>29537</v>
      </c>
      <c r="K18" s="16">
        <v>29259</v>
      </c>
      <c r="L18" s="16">
        <v>29897</v>
      </c>
      <c r="M18" s="16">
        <v>30175</v>
      </c>
      <c r="N18" s="16">
        <v>30323</v>
      </c>
      <c r="O18" s="16">
        <v>31261</v>
      </c>
      <c r="P18" s="10">
        <v>34871</v>
      </c>
      <c r="Q18" s="15">
        <v>34840</v>
      </c>
      <c r="S18" s="9">
        <v>29076.679252800001</v>
      </c>
      <c r="T18" s="16">
        <v>28664.468328899999</v>
      </c>
      <c r="U18" s="16">
        <v>26979.229514899998</v>
      </c>
      <c r="V18" s="16">
        <v>27658.185945099998</v>
      </c>
      <c r="W18" s="16">
        <v>27966.8711133</v>
      </c>
      <c r="X18" s="16">
        <v>27644.528636499999</v>
      </c>
      <c r="Y18" s="16">
        <v>27700.771533200001</v>
      </c>
      <c r="Z18" s="16">
        <v>27433.313141099999</v>
      </c>
      <c r="AA18" s="16">
        <v>27962.0423065</v>
      </c>
      <c r="AB18" s="16">
        <v>28284.078344900001</v>
      </c>
      <c r="AC18" s="16">
        <v>28270.311461500001</v>
      </c>
      <c r="AD18" s="16">
        <v>29081.250539100001</v>
      </c>
      <c r="AE18" s="10">
        <v>32901.493544223013</v>
      </c>
      <c r="AF18" s="15">
        <v>32977.056403057999</v>
      </c>
    </row>
    <row r="19" spans="1:32">
      <c r="A19" s="39">
        <f>VLOOKUP("&lt;Zeilentitel_9&gt;",Uebersetzungen!$B$3:$E$294,Uebersetzungen!$B$2+1,FALSE)</f>
        <v>21</v>
      </c>
      <c r="B19" s="8" t="str">
        <f>VLOOKUP("&lt;Zeilentitel_9.1&gt;",Uebersetzungen!$B$3:$E$294,Uebersetzungen!$B$2+1,FALSE)</f>
        <v>Herstellung von pharmazeutischen Erzeugnissen</v>
      </c>
      <c r="D19" s="9">
        <v>48626</v>
      </c>
      <c r="E19" s="16">
        <v>47691</v>
      </c>
      <c r="F19" s="16">
        <v>48666</v>
      </c>
      <c r="G19" s="16">
        <v>47264</v>
      </c>
      <c r="H19" s="16">
        <v>46234</v>
      </c>
      <c r="I19" s="16">
        <v>45941</v>
      </c>
      <c r="J19" s="16">
        <v>45033</v>
      </c>
      <c r="K19" s="16">
        <v>44628</v>
      </c>
      <c r="L19" s="16">
        <v>43319</v>
      </c>
      <c r="M19" s="16">
        <v>42003</v>
      </c>
      <c r="N19" s="16">
        <v>40202</v>
      </c>
      <c r="O19" s="16">
        <v>39016</v>
      </c>
      <c r="P19" s="10">
        <v>34770</v>
      </c>
      <c r="Q19" s="15">
        <v>31253</v>
      </c>
      <c r="S19" s="9">
        <v>46029.004589199998</v>
      </c>
      <c r="T19" s="16">
        <v>45249.146811899998</v>
      </c>
      <c r="U19" s="16">
        <v>45967.765561100001</v>
      </c>
      <c r="V19" s="16">
        <v>44845.1586618</v>
      </c>
      <c r="W19" s="16">
        <v>43905.897610499997</v>
      </c>
      <c r="X19" s="16">
        <v>43300.375785700002</v>
      </c>
      <c r="Y19" s="16">
        <v>42626.542018</v>
      </c>
      <c r="Z19" s="16">
        <v>42118.086327600002</v>
      </c>
      <c r="AA19" s="16">
        <v>40763.207854</v>
      </c>
      <c r="AB19" s="16">
        <v>39514.444812200003</v>
      </c>
      <c r="AC19" s="16">
        <v>38038.0685667</v>
      </c>
      <c r="AD19" s="16">
        <v>36943.448324199999</v>
      </c>
      <c r="AE19" s="10">
        <v>32822.381087355003</v>
      </c>
      <c r="AF19" s="15">
        <v>29485.447573746998</v>
      </c>
    </row>
    <row r="20" spans="1:32">
      <c r="A20" s="39" t="str">
        <f>VLOOKUP("&lt;Zeilentitel_10&gt;",Uebersetzungen!$B$3:$E$294,Uebersetzungen!$B$2+1,FALSE)</f>
        <v>22 + 23</v>
      </c>
      <c r="B20" s="8" t="str">
        <f>VLOOKUP("&lt;Zeilentitel_10.1&gt;",Uebersetzungen!$B$3:$E$294,Uebersetzungen!$B$2+1,FALSE)</f>
        <v>Herstellung von Gummi- und Kunststoffwaren sowie von Glas und Glaswaren, Keramik, Verarbeitung von Steinen und Erden</v>
      </c>
      <c r="D20" s="9">
        <v>39749</v>
      </c>
      <c r="E20" s="16">
        <v>39319</v>
      </c>
      <c r="F20" s="16">
        <v>39002</v>
      </c>
      <c r="G20" s="16">
        <v>39936</v>
      </c>
      <c r="H20" s="16">
        <v>40362</v>
      </c>
      <c r="I20" s="16">
        <v>40144</v>
      </c>
      <c r="J20" s="16">
        <v>40807</v>
      </c>
      <c r="K20" s="16">
        <v>41887</v>
      </c>
      <c r="L20" s="16">
        <v>42992</v>
      </c>
      <c r="M20" s="16">
        <v>43007</v>
      </c>
      <c r="N20" s="16">
        <v>43431</v>
      </c>
      <c r="O20" s="16">
        <v>43817</v>
      </c>
      <c r="P20" s="10">
        <v>44959</v>
      </c>
      <c r="Q20" s="15">
        <v>43647</v>
      </c>
      <c r="S20" s="9">
        <v>36676.503825599997</v>
      </c>
      <c r="T20" s="16">
        <v>36207.930736499999</v>
      </c>
      <c r="U20" s="16">
        <v>36079.482437899998</v>
      </c>
      <c r="V20" s="16">
        <v>37022.1967716</v>
      </c>
      <c r="W20" s="16">
        <v>37435.812888799999</v>
      </c>
      <c r="X20" s="16">
        <v>37154.592862700003</v>
      </c>
      <c r="Y20" s="16">
        <v>37732.073104800002</v>
      </c>
      <c r="Z20" s="16">
        <v>38815.140627799999</v>
      </c>
      <c r="AA20" s="16">
        <v>39745.091443099998</v>
      </c>
      <c r="AB20" s="16">
        <v>39624.593294400001</v>
      </c>
      <c r="AC20" s="16">
        <v>40008.632950400002</v>
      </c>
      <c r="AD20" s="16">
        <v>40362.059431299997</v>
      </c>
      <c r="AE20" s="10">
        <v>41845.135876599998</v>
      </c>
      <c r="AF20" s="15">
        <v>40567.128825700005</v>
      </c>
    </row>
    <row r="21" spans="1:32">
      <c r="A21" s="39" t="str">
        <f>VLOOKUP("&lt;Zeilentitel_11&gt;",Uebersetzungen!$B$3:$E$294,Uebersetzungen!$B$2+1,FALSE)</f>
        <v>24 + 25</v>
      </c>
      <c r="B21" s="8" t="str">
        <f>VLOOKUP("&lt;Zeilentitel_11.1&gt;",Uebersetzungen!$B$3:$E$294,Uebersetzungen!$B$2+1,FALSE)</f>
        <v>Metallerzeugung und -bearbeitung, Herstellung von Metallerzeugnissen</v>
      </c>
      <c r="D21" s="9">
        <v>97864</v>
      </c>
      <c r="E21" s="16">
        <v>97045</v>
      </c>
      <c r="F21" s="16">
        <v>95529</v>
      </c>
      <c r="G21" s="16">
        <v>98630</v>
      </c>
      <c r="H21" s="16">
        <v>99243</v>
      </c>
      <c r="I21" s="16">
        <v>96672</v>
      </c>
      <c r="J21" s="16">
        <v>96154</v>
      </c>
      <c r="K21" s="16">
        <v>98308</v>
      </c>
      <c r="L21" s="16">
        <v>101795</v>
      </c>
      <c r="M21" s="16">
        <v>101363</v>
      </c>
      <c r="N21" s="16">
        <v>103012</v>
      </c>
      <c r="O21" s="16">
        <v>103577</v>
      </c>
      <c r="P21" s="10">
        <v>109829</v>
      </c>
      <c r="Q21" s="15">
        <v>100117</v>
      </c>
      <c r="S21" s="9">
        <v>89964.393782800005</v>
      </c>
      <c r="T21" s="16">
        <v>88864.417990500006</v>
      </c>
      <c r="U21" s="16">
        <v>87775.001123099995</v>
      </c>
      <c r="V21" s="16">
        <v>90848.671638700005</v>
      </c>
      <c r="W21" s="16">
        <v>91310.616013299994</v>
      </c>
      <c r="X21" s="16">
        <v>88732.970806400001</v>
      </c>
      <c r="Y21" s="16">
        <v>88279.715541099999</v>
      </c>
      <c r="Z21" s="16">
        <v>90460.391438000006</v>
      </c>
      <c r="AA21" s="16">
        <v>93644.568184999996</v>
      </c>
      <c r="AB21" s="16">
        <v>93307.0472763</v>
      </c>
      <c r="AC21" s="16">
        <v>94451.621444400007</v>
      </c>
      <c r="AD21" s="16">
        <v>95052.004934900004</v>
      </c>
      <c r="AE21" s="10">
        <v>101837.61293809999</v>
      </c>
      <c r="AF21" s="15">
        <v>92913.769737299983</v>
      </c>
    </row>
    <row r="22" spans="1:32">
      <c r="A22" s="39">
        <f>VLOOKUP("&lt;Zeilentitel_12&gt;",Uebersetzungen!$B$3:$E$294,Uebersetzungen!$B$2+1,FALSE)</f>
        <v>26</v>
      </c>
      <c r="B22" s="8" t="str">
        <f>VLOOKUP("&lt;Zeilentitel_12.1&gt;",Uebersetzungen!$B$3:$E$294,Uebersetzungen!$B$2+1,FALSE)</f>
        <v>Herstellung von Datenverarbeitungsgeräten, elektronischen, optischen Erzeugnissen und Uhren</v>
      </c>
      <c r="D22" s="9">
        <v>111895</v>
      </c>
      <c r="E22" s="16">
        <v>110133</v>
      </c>
      <c r="F22" s="16">
        <v>108968</v>
      </c>
      <c r="G22" s="16">
        <v>110929</v>
      </c>
      <c r="H22" s="16">
        <v>109278</v>
      </c>
      <c r="I22" s="16">
        <v>104570</v>
      </c>
      <c r="J22" s="16">
        <v>105173</v>
      </c>
      <c r="K22" s="16">
        <v>108352</v>
      </c>
      <c r="L22" s="16">
        <v>111001</v>
      </c>
      <c r="M22" s="16">
        <v>109483</v>
      </c>
      <c r="N22" s="16">
        <v>108474</v>
      </c>
      <c r="O22" s="16">
        <v>106264</v>
      </c>
      <c r="P22" s="10">
        <v>108366</v>
      </c>
      <c r="Q22" s="15">
        <v>88148</v>
      </c>
      <c r="S22" s="9">
        <v>105312.4848875</v>
      </c>
      <c r="T22" s="16">
        <v>103642.8984224</v>
      </c>
      <c r="U22" s="16">
        <v>102557.1825044</v>
      </c>
      <c r="V22" s="16">
        <v>104515.24104550001</v>
      </c>
      <c r="W22" s="16">
        <v>103162.0758712</v>
      </c>
      <c r="X22" s="16">
        <v>98229.1260588</v>
      </c>
      <c r="Y22" s="16">
        <v>98975.444902000003</v>
      </c>
      <c r="Z22" s="16">
        <v>101837.3878272</v>
      </c>
      <c r="AA22" s="16">
        <v>104219.77133639999</v>
      </c>
      <c r="AB22" s="16">
        <v>102707.0786581</v>
      </c>
      <c r="AC22" s="16">
        <v>101549.5838048</v>
      </c>
      <c r="AD22" s="16">
        <v>99459.077741300003</v>
      </c>
      <c r="AE22" s="10">
        <v>102330.90850999996</v>
      </c>
      <c r="AF22" s="15">
        <v>83076.744399520001</v>
      </c>
    </row>
    <row r="23" spans="1:32">
      <c r="A23" s="39">
        <f>VLOOKUP("&lt;Zeilentitel_13&gt;",Uebersetzungen!$B$3:$E$294,Uebersetzungen!$B$2+1,FALSE)</f>
        <v>27</v>
      </c>
      <c r="B23" s="8" t="str">
        <f>VLOOKUP("&lt;Zeilentitel_13.1&gt;",Uebersetzungen!$B$3:$E$294,Uebersetzungen!$B$2+1,FALSE)</f>
        <v>Herstellung von elektrischen Ausrüstungen</v>
      </c>
      <c r="D23" s="9">
        <v>28420</v>
      </c>
      <c r="E23" s="16">
        <v>28945</v>
      </c>
      <c r="F23" s="16">
        <v>28870</v>
      </c>
      <c r="G23" s="16">
        <v>29659</v>
      </c>
      <c r="H23" s="16">
        <v>31529</v>
      </c>
      <c r="I23" s="16">
        <v>31974</v>
      </c>
      <c r="J23" s="16">
        <v>32684</v>
      </c>
      <c r="K23" s="16">
        <v>33458</v>
      </c>
      <c r="L23" s="16">
        <v>35052</v>
      </c>
      <c r="M23" s="16">
        <v>35852</v>
      </c>
      <c r="N23" s="16">
        <v>36099</v>
      </c>
      <c r="O23" s="16">
        <v>37055</v>
      </c>
      <c r="P23" s="10">
        <v>40526</v>
      </c>
      <c r="Q23" s="15">
        <v>33473</v>
      </c>
      <c r="S23" s="9">
        <v>26648.288504299999</v>
      </c>
      <c r="T23" s="16">
        <v>27158.488237599999</v>
      </c>
      <c r="U23" s="16">
        <v>26905.691144500001</v>
      </c>
      <c r="V23" s="16">
        <v>27738.953727</v>
      </c>
      <c r="W23" s="16">
        <v>29648.866891500002</v>
      </c>
      <c r="X23" s="16">
        <v>29875.183722000002</v>
      </c>
      <c r="Y23" s="16">
        <v>30577.440440300001</v>
      </c>
      <c r="Z23" s="16">
        <v>31296.690113299999</v>
      </c>
      <c r="AA23" s="16">
        <v>32758.537328800001</v>
      </c>
      <c r="AB23" s="16">
        <v>33460.446405199997</v>
      </c>
      <c r="AC23" s="16">
        <v>33662.993322900002</v>
      </c>
      <c r="AD23" s="16">
        <v>34561.253546400003</v>
      </c>
      <c r="AE23" s="10">
        <v>38405.812534699995</v>
      </c>
      <c r="AF23" s="15">
        <v>31602.840575962</v>
      </c>
    </row>
    <row r="24" spans="1:32">
      <c r="A24" s="39">
        <f>VLOOKUP("&lt;Zeilentitel_14&gt;",Uebersetzungen!$B$3:$E$294,Uebersetzungen!$B$2+1,FALSE)</f>
        <v>28</v>
      </c>
      <c r="B24" s="8" t="str">
        <f>VLOOKUP("&lt;Zeilentitel_14.1&gt;",Uebersetzungen!$B$3:$E$294,Uebersetzungen!$B$2+1,FALSE)</f>
        <v>Maschinenbau</v>
      </c>
      <c r="D24" s="9">
        <v>78625</v>
      </c>
      <c r="E24" s="16">
        <v>74582</v>
      </c>
      <c r="F24" s="16">
        <v>74575</v>
      </c>
      <c r="G24" s="16">
        <v>76942</v>
      </c>
      <c r="H24" s="16">
        <v>76924</v>
      </c>
      <c r="I24" s="16">
        <v>75726</v>
      </c>
      <c r="J24" s="16">
        <v>75015</v>
      </c>
      <c r="K24" s="16">
        <v>75882</v>
      </c>
      <c r="L24" s="16">
        <v>78525</v>
      </c>
      <c r="M24" s="16">
        <v>79139</v>
      </c>
      <c r="N24" s="16">
        <v>79896</v>
      </c>
      <c r="O24" s="16">
        <v>81354</v>
      </c>
      <c r="P24" s="10">
        <v>94778</v>
      </c>
      <c r="Q24" s="15">
        <v>88863</v>
      </c>
      <c r="S24" s="9">
        <v>74173.692814099995</v>
      </c>
      <c r="T24" s="16">
        <v>70229.163242900002</v>
      </c>
      <c r="U24" s="16">
        <v>70244.702288300003</v>
      </c>
      <c r="V24" s="16">
        <v>72584.168495100006</v>
      </c>
      <c r="W24" s="16">
        <v>72468.379574399994</v>
      </c>
      <c r="X24" s="16">
        <v>71283.6625833</v>
      </c>
      <c r="Y24" s="16">
        <v>70629.962320599996</v>
      </c>
      <c r="Z24" s="16">
        <v>71467.065317500004</v>
      </c>
      <c r="AA24" s="16">
        <v>73901.864626900002</v>
      </c>
      <c r="AB24" s="16">
        <v>74585.219509500006</v>
      </c>
      <c r="AC24" s="16">
        <v>75149.894599199994</v>
      </c>
      <c r="AD24" s="16">
        <v>76513.361319599993</v>
      </c>
      <c r="AE24" s="10">
        <v>89894.637033100036</v>
      </c>
      <c r="AF24" s="15">
        <v>84362.526746399992</v>
      </c>
    </row>
    <row r="25" spans="1:32">
      <c r="A25" s="39" t="str">
        <f>VLOOKUP("&lt;Zeilentitel_15&gt;",Uebersetzungen!$B$3:$E$294,Uebersetzungen!$B$2+1,FALSE)</f>
        <v>29 + 30</v>
      </c>
      <c r="B25" s="8" t="str">
        <f>VLOOKUP("&lt;Zeilentitel_15.1&gt;",Uebersetzungen!$B$3:$E$294,Uebersetzungen!$B$2+1,FALSE)</f>
        <v>Fahrzeugbau</v>
      </c>
      <c r="D25" s="9">
        <v>16338</v>
      </c>
      <c r="E25" s="16">
        <v>15871</v>
      </c>
      <c r="F25" s="16">
        <v>15784</v>
      </c>
      <c r="G25" s="16">
        <v>17185</v>
      </c>
      <c r="H25" s="16">
        <v>16687</v>
      </c>
      <c r="I25" s="16">
        <v>16253</v>
      </c>
      <c r="J25" s="16">
        <v>15851</v>
      </c>
      <c r="K25" s="16">
        <v>15602</v>
      </c>
      <c r="L25" s="16">
        <v>15520</v>
      </c>
      <c r="M25" s="16">
        <v>15728</v>
      </c>
      <c r="N25" s="16">
        <v>15902</v>
      </c>
      <c r="O25" s="16">
        <v>15264</v>
      </c>
      <c r="P25" s="10">
        <v>14943</v>
      </c>
      <c r="Q25" s="15">
        <v>12283</v>
      </c>
      <c r="S25" s="9">
        <v>15440.3851655</v>
      </c>
      <c r="T25" s="16">
        <v>15019.548313400001</v>
      </c>
      <c r="U25" s="16">
        <v>14961.854613400001</v>
      </c>
      <c r="V25" s="16">
        <v>16393.149041000001</v>
      </c>
      <c r="W25" s="16">
        <v>15888.4675013</v>
      </c>
      <c r="X25" s="16">
        <v>15453.094333499999</v>
      </c>
      <c r="Y25" s="16">
        <v>15080.3052658</v>
      </c>
      <c r="Z25" s="16">
        <v>14851.2764303</v>
      </c>
      <c r="AA25" s="16">
        <v>14747.750982899999</v>
      </c>
      <c r="AB25" s="16">
        <v>14919.0184832</v>
      </c>
      <c r="AC25" s="16">
        <v>15061.4203075</v>
      </c>
      <c r="AD25" s="16">
        <v>14440.670237099999</v>
      </c>
      <c r="AE25" s="10">
        <v>14354.106450996</v>
      </c>
      <c r="AF25" s="15">
        <v>11752.436878039</v>
      </c>
    </row>
    <row r="26" spans="1:32">
      <c r="A26" s="39" t="str">
        <f>VLOOKUP("&lt;Zeilentitel_16&gt;",Uebersetzungen!$B$3:$E$294,Uebersetzungen!$B$2+1,FALSE)</f>
        <v>31 bis 33</v>
      </c>
      <c r="B26" s="8" t="str">
        <f>VLOOKUP("&lt;Zeilentitel_16.1&gt;",Uebersetzungen!$B$3:$E$294,Uebersetzungen!$B$2+1,FALSE)</f>
        <v>Sonstige Herstellung von Waren, Reparatur und Installation von Maschinen und Ausrüstungen</v>
      </c>
      <c r="D26" s="9">
        <v>59890</v>
      </c>
      <c r="E26" s="16">
        <v>58377</v>
      </c>
      <c r="F26" s="16">
        <v>57053</v>
      </c>
      <c r="G26" s="16">
        <v>57579</v>
      </c>
      <c r="H26" s="16">
        <v>57136</v>
      </c>
      <c r="I26" s="16">
        <v>56652</v>
      </c>
      <c r="J26" s="16">
        <v>56029</v>
      </c>
      <c r="K26" s="16">
        <v>56593</v>
      </c>
      <c r="L26" s="16">
        <v>56711</v>
      </c>
      <c r="M26" s="16">
        <v>56750</v>
      </c>
      <c r="N26" s="16">
        <v>56851</v>
      </c>
      <c r="O26" s="16">
        <v>57570</v>
      </c>
      <c r="P26" s="10">
        <v>57090</v>
      </c>
      <c r="Q26" s="15">
        <v>52228</v>
      </c>
      <c r="S26" s="9">
        <v>53703.248855999998</v>
      </c>
      <c r="T26" s="16">
        <v>52122.625182999996</v>
      </c>
      <c r="U26" s="16">
        <v>51067.365039600001</v>
      </c>
      <c r="V26" s="16">
        <v>51491.8631092</v>
      </c>
      <c r="W26" s="16">
        <v>51215.3816382</v>
      </c>
      <c r="X26" s="16">
        <v>50565.724574499996</v>
      </c>
      <c r="Y26" s="16">
        <v>50097.717023099998</v>
      </c>
      <c r="Z26" s="16">
        <v>50661.402557699999</v>
      </c>
      <c r="AA26" s="16">
        <v>50842.1008812</v>
      </c>
      <c r="AB26" s="16">
        <v>50955.005461100001</v>
      </c>
      <c r="AC26" s="16">
        <v>50998.977751500002</v>
      </c>
      <c r="AD26" s="16">
        <v>51828.100162199997</v>
      </c>
      <c r="AE26" s="10">
        <v>51417.788672639988</v>
      </c>
      <c r="AF26" s="15">
        <v>47072.885794559996</v>
      </c>
    </row>
    <row r="27" spans="1:32">
      <c r="A27" s="39">
        <f>VLOOKUP("&lt;Zeilentitel_17&gt;",Uebersetzungen!$B$3:$E$294,Uebersetzungen!$B$2+1,FALSE)</f>
        <v>35</v>
      </c>
      <c r="B27" s="8" t="str">
        <f>VLOOKUP("&lt;Zeilentitel_17.1&gt;",Uebersetzungen!$B$3:$E$294,Uebersetzungen!$B$2+1,FALSE)</f>
        <v>Energieversorgung</v>
      </c>
      <c r="D27" s="9">
        <v>31472</v>
      </c>
      <c r="E27" s="16">
        <v>30827</v>
      </c>
      <c r="F27" s="16">
        <v>30181</v>
      </c>
      <c r="G27" s="16">
        <v>29501</v>
      </c>
      <c r="H27" s="16">
        <v>29223</v>
      </c>
      <c r="I27" s="16">
        <v>29080</v>
      </c>
      <c r="J27" s="16">
        <v>29212</v>
      </c>
      <c r="K27" s="16">
        <v>29297</v>
      </c>
      <c r="L27" s="16">
        <v>29320</v>
      </c>
      <c r="M27" s="16">
        <v>28700</v>
      </c>
      <c r="N27" s="16">
        <v>28466</v>
      </c>
      <c r="O27" s="16">
        <v>28599</v>
      </c>
      <c r="P27" s="10">
        <v>26436</v>
      </c>
      <c r="Q27" s="15">
        <v>25590</v>
      </c>
      <c r="S27" s="9">
        <v>27642.5315424</v>
      </c>
      <c r="T27" s="16">
        <v>26881.964756400001</v>
      </c>
      <c r="U27" s="16">
        <v>26384.8512118</v>
      </c>
      <c r="V27" s="16">
        <v>25617.856535499999</v>
      </c>
      <c r="W27" s="16">
        <v>25538.017421299999</v>
      </c>
      <c r="X27" s="16">
        <v>25354.275637300001</v>
      </c>
      <c r="Y27" s="16">
        <v>25374.424432799999</v>
      </c>
      <c r="Z27" s="16">
        <v>25548.764011200001</v>
      </c>
      <c r="AA27" s="16">
        <v>25609.436784099998</v>
      </c>
      <c r="AB27" s="16">
        <v>25150.6181454</v>
      </c>
      <c r="AC27" s="16">
        <v>24730.917802</v>
      </c>
      <c r="AD27" s="16">
        <v>24988.263193399998</v>
      </c>
      <c r="AE27" s="10">
        <v>22937.347057500003</v>
      </c>
      <c r="AF27" s="15">
        <v>22311.443341819999</v>
      </c>
    </row>
    <row r="28" spans="1:32">
      <c r="A28" s="39" t="str">
        <f>VLOOKUP("&lt;Zeilentitel_18&gt;",Uebersetzungen!$B$3:$E$294,Uebersetzungen!$B$2+1,FALSE)</f>
        <v>36 bis 39</v>
      </c>
      <c r="B28" s="8" t="str">
        <f>VLOOKUP("&lt;Zeilentitel_18.1&gt;",Uebersetzungen!$B$3:$E$294,Uebersetzungen!$B$2+1,FALSE)</f>
        <v xml:space="preserve">Wasserversorgung; Abwasser- und Abfallentsorgung und Beseitigung von Umweltverschmutzungen </v>
      </c>
      <c r="D28" s="9">
        <v>21448</v>
      </c>
      <c r="E28" s="16">
        <v>21075</v>
      </c>
      <c r="F28" s="16">
        <v>20487</v>
      </c>
      <c r="G28" s="16">
        <v>20371</v>
      </c>
      <c r="H28" s="16">
        <v>19806</v>
      </c>
      <c r="I28" s="16">
        <v>19501</v>
      </c>
      <c r="J28" s="16">
        <v>19163</v>
      </c>
      <c r="K28" s="16">
        <v>18814</v>
      </c>
      <c r="L28" s="16">
        <v>18790</v>
      </c>
      <c r="M28" s="16">
        <v>18512</v>
      </c>
      <c r="N28" s="16">
        <v>18091</v>
      </c>
      <c r="O28" s="16">
        <v>17652</v>
      </c>
      <c r="P28" s="10">
        <v>16317</v>
      </c>
      <c r="Q28" s="15">
        <v>15326</v>
      </c>
      <c r="S28" s="9">
        <v>18479.358353799998</v>
      </c>
      <c r="T28" s="16">
        <v>18075.105372400001</v>
      </c>
      <c r="U28" s="16">
        <v>17641.847936900002</v>
      </c>
      <c r="V28" s="16">
        <v>17416.787346000001</v>
      </c>
      <c r="W28" s="16">
        <v>17034.185604900002</v>
      </c>
      <c r="X28" s="16">
        <v>16862.6014201</v>
      </c>
      <c r="Y28" s="16">
        <v>16499.886587699999</v>
      </c>
      <c r="Z28" s="16">
        <v>16290.374681400001</v>
      </c>
      <c r="AA28" s="16">
        <v>16267.0785204</v>
      </c>
      <c r="AB28" s="16">
        <v>16001.4838571</v>
      </c>
      <c r="AC28" s="16">
        <v>15546.9853007</v>
      </c>
      <c r="AD28" s="16">
        <v>15259.898858799999</v>
      </c>
      <c r="AE28" s="10">
        <v>13729.835112460001</v>
      </c>
      <c r="AF28" s="15">
        <v>12894.51461278</v>
      </c>
    </row>
    <row r="29" spans="1:32">
      <c r="A29" s="39" t="str">
        <f>VLOOKUP("&lt;Zeilentitel_19&gt;",Uebersetzungen!$B$3:$E$294,Uebersetzungen!$B$2+1,FALSE)</f>
        <v>41 + 42</v>
      </c>
      <c r="B29" s="8" t="str">
        <f>VLOOKUP("&lt;Zeilentitel_19.1&gt;",Uebersetzungen!$B$3:$E$294,Uebersetzungen!$B$2+1,FALSE)</f>
        <v xml:space="preserve">Hoch- und Tiefbau </v>
      </c>
      <c r="D29" s="9">
        <v>113833</v>
      </c>
      <c r="E29" s="16">
        <v>112985</v>
      </c>
      <c r="F29" s="16">
        <v>112992</v>
      </c>
      <c r="G29" s="16">
        <v>113650</v>
      </c>
      <c r="H29" s="16">
        <v>114438</v>
      </c>
      <c r="I29" s="16">
        <v>114051</v>
      </c>
      <c r="J29" s="16">
        <v>113884</v>
      </c>
      <c r="K29" s="16">
        <v>114586</v>
      </c>
      <c r="L29" s="16">
        <v>115296</v>
      </c>
      <c r="M29" s="16">
        <v>115043</v>
      </c>
      <c r="N29" s="16">
        <v>114548</v>
      </c>
      <c r="O29" s="16">
        <v>112587</v>
      </c>
      <c r="P29" s="10">
        <v>108222</v>
      </c>
      <c r="Q29" s="15">
        <v>105445</v>
      </c>
      <c r="S29" s="9">
        <v>105368.5051159</v>
      </c>
      <c r="T29" s="16">
        <v>105094.456974</v>
      </c>
      <c r="U29" s="16">
        <v>105219.8028344</v>
      </c>
      <c r="V29" s="16">
        <v>105716.6295652</v>
      </c>
      <c r="W29" s="16">
        <v>106856.2855919</v>
      </c>
      <c r="X29" s="16">
        <v>105704.8159482</v>
      </c>
      <c r="Y29" s="16">
        <v>105735.9559383</v>
      </c>
      <c r="Z29" s="16">
        <v>106570.2359193</v>
      </c>
      <c r="AA29" s="16">
        <v>107399.0179965</v>
      </c>
      <c r="AB29" s="16">
        <v>107279.1509645</v>
      </c>
      <c r="AC29" s="16">
        <v>106966.1148174</v>
      </c>
      <c r="AD29" s="16">
        <v>105337.3737285</v>
      </c>
      <c r="AE29" s="10">
        <v>102621.43921040001</v>
      </c>
      <c r="AF29" s="15">
        <v>100195.67894239999</v>
      </c>
    </row>
    <row r="30" spans="1:32">
      <c r="A30" s="39">
        <f>VLOOKUP("&lt;Zeilentitel_20&gt;",Uebersetzungen!$B$3:$E$294,Uebersetzungen!$B$2+1,FALSE)</f>
        <v>43</v>
      </c>
      <c r="B30" s="8" t="str">
        <f>VLOOKUP("&lt;Zeilentitel_20.1&gt;",Uebersetzungen!$B$3:$E$294,Uebersetzungen!$B$2+1,FALSE)</f>
        <v>Vorbereitende Baustellenarbeiten, Bauinstallation und sonstiges Ausbaugewerbe</v>
      </c>
      <c r="D30" s="9">
        <v>252811</v>
      </c>
      <c r="E30" s="16">
        <v>249991</v>
      </c>
      <c r="F30" s="16">
        <v>248167</v>
      </c>
      <c r="G30" s="16">
        <v>247493</v>
      </c>
      <c r="H30" s="16">
        <v>245776</v>
      </c>
      <c r="I30" s="16">
        <v>242795</v>
      </c>
      <c r="J30" s="16">
        <v>240678</v>
      </c>
      <c r="K30" s="16">
        <v>240405</v>
      </c>
      <c r="L30" s="16">
        <v>239139</v>
      </c>
      <c r="M30" s="16">
        <v>237041</v>
      </c>
      <c r="N30" s="16">
        <v>232304</v>
      </c>
      <c r="O30" s="16">
        <v>226959</v>
      </c>
      <c r="P30" s="16">
        <v>213777</v>
      </c>
      <c r="Q30" s="15">
        <v>200289</v>
      </c>
      <c r="S30" s="9">
        <v>229310.99612940001</v>
      </c>
      <c r="T30" s="16">
        <v>228336.00229599999</v>
      </c>
      <c r="U30" s="16">
        <v>226572.331592</v>
      </c>
      <c r="V30" s="16">
        <v>225187.7289588</v>
      </c>
      <c r="W30" s="16">
        <v>224416.66727539999</v>
      </c>
      <c r="X30" s="16">
        <v>219616.2510429</v>
      </c>
      <c r="Y30" s="16">
        <v>217925.45613169999</v>
      </c>
      <c r="Z30" s="16">
        <v>218156.11219879999</v>
      </c>
      <c r="AA30" s="16">
        <v>216989.33402899999</v>
      </c>
      <c r="AB30" s="16">
        <v>215345.99139400001</v>
      </c>
      <c r="AC30" s="16">
        <v>210284.30573210001</v>
      </c>
      <c r="AD30" s="16">
        <v>205424.65078520001</v>
      </c>
      <c r="AE30" s="16">
        <v>196327.85510680004</v>
      </c>
      <c r="AF30" s="15">
        <v>183911.82865800001</v>
      </c>
    </row>
    <row r="31" spans="1:32">
      <c r="A31" s="40" t="str">
        <f>VLOOKUP("&lt;Zeilentitel_21&gt;",Uebersetzungen!$B$3:$E$294,Uebersetzungen!$B$2+1,FALSE)</f>
        <v>Sekundärer Sektor</v>
      </c>
      <c r="B31" s="12"/>
      <c r="D31" s="13">
        <v>1103034</v>
      </c>
      <c r="E31" s="45">
        <v>1087112</v>
      </c>
      <c r="F31" s="45">
        <v>1078324</v>
      </c>
      <c r="G31" s="45">
        <v>1092397</v>
      </c>
      <c r="H31" s="45">
        <v>1091494</v>
      </c>
      <c r="I31" s="45">
        <v>1079134</v>
      </c>
      <c r="J31" s="45">
        <v>1076988</v>
      </c>
      <c r="K31" s="45">
        <v>1087297</v>
      </c>
      <c r="L31" s="45">
        <v>1099096</v>
      </c>
      <c r="M31" s="45">
        <v>1095214</v>
      </c>
      <c r="N31" s="45">
        <v>1091001</v>
      </c>
      <c r="O31" s="45">
        <v>1085415</v>
      </c>
      <c r="P31" s="17">
        <v>1082184</v>
      </c>
      <c r="Q31" s="14">
        <v>1006826</v>
      </c>
      <c r="S31" s="13">
        <v>1005340.146842</v>
      </c>
      <c r="T31" s="45">
        <v>991160.75432389998</v>
      </c>
      <c r="U31" s="45">
        <v>984177.31543199974</v>
      </c>
      <c r="V31" s="45">
        <v>996769.71188990003</v>
      </c>
      <c r="W31" s="45">
        <v>997668.89175600011</v>
      </c>
      <c r="X31" s="45">
        <v>981355.1918741999</v>
      </c>
      <c r="Y31" s="45">
        <v>979945.46661340003</v>
      </c>
      <c r="Z31" s="45">
        <v>990574.12874480011</v>
      </c>
      <c r="AA31" s="45">
        <v>1001533.2364033001</v>
      </c>
      <c r="AB31" s="45">
        <v>998675.58216660004</v>
      </c>
      <c r="AC31" s="45">
        <v>992699.21937119996</v>
      </c>
      <c r="AD31" s="45">
        <v>988789.90891440003</v>
      </c>
      <c r="AE31" s="17">
        <v>997401.36763528408</v>
      </c>
      <c r="AF31" s="14">
        <v>927550.03938042594</v>
      </c>
    </row>
    <row r="32" spans="1:32">
      <c r="A32" s="39">
        <f>VLOOKUP("&lt;Zeilentitel_22&gt;",Uebersetzungen!$B$3:$E$294,Uebersetzungen!$B$2+1,FALSE)</f>
        <v>45</v>
      </c>
      <c r="B32" s="8" t="str">
        <f>VLOOKUP("&lt;Zeilentitel_22.1&gt;",Uebersetzungen!$B$3:$E$294,Uebersetzungen!$B$2+1,FALSE)</f>
        <v>Handel mit Motorfahrzeugen; Instandhaltung und Reparatur von Motorfahrzeugen</v>
      </c>
      <c r="D32" s="9">
        <v>89440</v>
      </c>
      <c r="E32" s="16">
        <v>88536</v>
      </c>
      <c r="F32" s="16">
        <v>87880</v>
      </c>
      <c r="G32" s="16">
        <v>89027</v>
      </c>
      <c r="H32" s="16">
        <v>88522</v>
      </c>
      <c r="I32" s="16">
        <v>87919</v>
      </c>
      <c r="J32" s="16">
        <v>87555</v>
      </c>
      <c r="K32" s="16">
        <v>87219</v>
      </c>
      <c r="L32" s="16">
        <v>86780</v>
      </c>
      <c r="M32" s="16">
        <v>86726</v>
      </c>
      <c r="N32" s="16">
        <v>86199</v>
      </c>
      <c r="O32" s="16">
        <v>85748</v>
      </c>
      <c r="P32" s="16">
        <v>88453</v>
      </c>
      <c r="Q32" s="15">
        <v>86328</v>
      </c>
      <c r="S32" s="9">
        <v>78904.554766100002</v>
      </c>
      <c r="T32" s="16">
        <v>77408.279482500002</v>
      </c>
      <c r="U32" s="16">
        <v>77376.653357899995</v>
      </c>
      <c r="V32" s="16">
        <v>78527.859073800006</v>
      </c>
      <c r="W32" s="16">
        <v>78076.453767700004</v>
      </c>
      <c r="X32" s="16">
        <v>77072.226325399999</v>
      </c>
      <c r="Y32" s="16">
        <v>77219.942049399993</v>
      </c>
      <c r="Z32" s="16">
        <v>76907.947816100001</v>
      </c>
      <c r="AA32" s="16">
        <v>76476.862692199997</v>
      </c>
      <c r="AB32" s="16">
        <v>76416.515757899993</v>
      </c>
      <c r="AC32" s="16">
        <v>76048.653925199993</v>
      </c>
      <c r="AD32" s="16">
        <v>75386.111465499998</v>
      </c>
      <c r="AE32" s="16">
        <v>79324.663546199998</v>
      </c>
      <c r="AF32" s="15">
        <v>77603.3129912</v>
      </c>
    </row>
    <row r="33" spans="1:32">
      <c r="A33" s="39">
        <f>VLOOKUP("&lt;Zeilentitel_23&gt;",Uebersetzungen!$B$3:$E$294,Uebersetzungen!$B$2+1,FALSE)</f>
        <v>46</v>
      </c>
      <c r="B33" s="8" t="str">
        <f>VLOOKUP("&lt;Zeilentitel_23.1&gt;",Uebersetzungen!$B$3:$E$294,Uebersetzungen!$B$2+1,FALSE)</f>
        <v>Grosshandel (ohne Handel mit Motorfahrzeugen)</v>
      </c>
      <c r="D33" s="9">
        <v>231794</v>
      </c>
      <c r="E33" s="16">
        <v>223713</v>
      </c>
      <c r="F33" s="16">
        <v>221812</v>
      </c>
      <c r="G33" s="16">
        <v>225123</v>
      </c>
      <c r="H33" s="16">
        <v>223756</v>
      </c>
      <c r="I33" s="16">
        <v>223804</v>
      </c>
      <c r="J33" s="16">
        <v>224266</v>
      </c>
      <c r="K33" s="16">
        <v>225240</v>
      </c>
      <c r="L33" s="16">
        <v>227739</v>
      </c>
      <c r="M33" s="16">
        <v>226596</v>
      </c>
      <c r="N33" s="16">
        <v>226848</v>
      </c>
      <c r="O33" s="16">
        <v>226324</v>
      </c>
      <c r="P33" s="10">
        <v>217594</v>
      </c>
      <c r="Q33" s="15">
        <v>203474</v>
      </c>
      <c r="S33" s="9">
        <v>204548.6726351</v>
      </c>
      <c r="T33" s="16">
        <v>196013.15207929999</v>
      </c>
      <c r="U33" s="16">
        <v>195165.63594209999</v>
      </c>
      <c r="V33" s="16">
        <v>197949.6564373</v>
      </c>
      <c r="W33" s="16">
        <v>196494.22203919999</v>
      </c>
      <c r="X33" s="16">
        <v>195113.4163629</v>
      </c>
      <c r="Y33" s="16">
        <v>196876.90721460001</v>
      </c>
      <c r="Z33" s="16">
        <v>197034.57829480001</v>
      </c>
      <c r="AA33" s="16">
        <v>199170.97538250001</v>
      </c>
      <c r="AB33" s="16">
        <v>198116.7878848</v>
      </c>
      <c r="AC33" s="16">
        <v>198254.80344049999</v>
      </c>
      <c r="AD33" s="16">
        <v>197515.63098690001</v>
      </c>
      <c r="AE33" s="10">
        <v>186986.52915840002</v>
      </c>
      <c r="AF33" s="15">
        <v>175040.91976839997</v>
      </c>
    </row>
    <row r="34" spans="1:32">
      <c r="A34" s="39">
        <f>VLOOKUP("&lt;Zeilentitel_24&gt;",Uebersetzungen!$B$3:$E$294,Uebersetzungen!$B$2+1,FALSE)</f>
        <v>47</v>
      </c>
      <c r="B34" s="8" t="str">
        <f>VLOOKUP("&lt;Zeilentitel_24.1&gt;",Uebersetzungen!$B$3:$E$294,Uebersetzungen!$B$2+1,FALSE)</f>
        <v>Detailhandel (ohne Handel mit Motorfahrzeugen)</v>
      </c>
      <c r="D34" s="9">
        <v>313949</v>
      </c>
      <c r="E34" s="16">
        <v>313424</v>
      </c>
      <c r="F34" s="16">
        <v>308054</v>
      </c>
      <c r="G34" s="16">
        <v>307509</v>
      </c>
      <c r="H34" s="16">
        <v>308013</v>
      </c>
      <c r="I34" s="16">
        <v>309782</v>
      </c>
      <c r="J34" s="16">
        <v>311396</v>
      </c>
      <c r="K34" s="16">
        <v>313705</v>
      </c>
      <c r="L34" s="16">
        <v>316352</v>
      </c>
      <c r="M34" s="16">
        <v>315761</v>
      </c>
      <c r="N34" s="16">
        <v>315779</v>
      </c>
      <c r="O34" s="16">
        <v>316739</v>
      </c>
      <c r="P34" s="10">
        <v>359105</v>
      </c>
      <c r="Q34" s="15">
        <v>344552</v>
      </c>
      <c r="S34" s="9">
        <v>233252.7277584</v>
      </c>
      <c r="T34" s="16">
        <v>231833.04702490001</v>
      </c>
      <c r="U34" s="16">
        <v>229776.50905980001</v>
      </c>
      <c r="V34" s="16">
        <v>228620.53873219999</v>
      </c>
      <c r="W34" s="16">
        <v>228146.6843235</v>
      </c>
      <c r="X34" s="16">
        <v>229071.31226519999</v>
      </c>
      <c r="Y34" s="16">
        <v>232418.32915889999</v>
      </c>
      <c r="Z34" s="16">
        <v>234474.61186020001</v>
      </c>
      <c r="AA34" s="16">
        <v>236237.1536737</v>
      </c>
      <c r="AB34" s="16">
        <v>235986.90032439999</v>
      </c>
      <c r="AC34" s="16">
        <v>235155.17595989999</v>
      </c>
      <c r="AD34" s="16">
        <v>235506.29690640001</v>
      </c>
      <c r="AE34" s="10">
        <v>268039.98440839996</v>
      </c>
      <c r="AF34" s="15">
        <v>257510.22142810002</v>
      </c>
    </row>
    <row r="35" spans="1:32">
      <c r="A35" s="39">
        <f>VLOOKUP("&lt;Zeilentitel_25&gt;",Uebersetzungen!$B$3:$E$294,Uebersetzungen!$B$2+1,FALSE)</f>
        <v>49</v>
      </c>
      <c r="B35" s="8" t="str">
        <f>VLOOKUP("&lt;Zeilentitel_25.1&gt;",Uebersetzungen!$B$3:$E$294,Uebersetzungen!$B$2+1,FALSE)</f>
        <v>Landverkehr und Transport in Rohrfernleitungen</v>
      </c>
      <c r="D35" s="9">
        <v>133601</v>
      </c>
      <c r="E35" s="16">
        <v>129271</v>
      </c>
      <c r="F35" s="16">
        <v>127186</v>
      </c>
      <c r="G35" s="16">
        <v>127939</v>
      </c>
      <c r="H35" s="16">
        <v>125023</v>
      </c>
      <c r="I35" s="16">
        <v>122777</v>
      </c>
      <c r="J35" s="16">
        <v>120809</v>
      </c>
      <c r="K35" s="16">
        <v>120704</v>
      </c>
      <c r="L35" s="16">
        <v>119829</v>
      </c>
      <c r="M35" s="16">
        <v>118933</v>
      </c>
      <c r="N35" s="16">
        <v>117168</v>
      </c>
      <c r="O35" s="16">
        <v>114823</v>
      </c>
      <c r="P35" s="10">
        <v>107995</v>
      </c>
      <c r="Q35" s="15">
        <v>100952</v>
      </c>
      <c r="S35" s="9">
        <v>114641.38466500001</v>
      </c>
      <c r="T35" s="16">
        <v>112722.1844015</v>
      </c>
      <c r="U35" s="16">
        <v>111354.8845378</v>
      </c>
      <c r="V35" s="16">
        <v>110271.18370160001</v>
      </c>
      <c r="W35" s="16">
        <v>106980.3668862</v>
      </c>
      <c r="X35" s="16">
        <v>105928.00995589999</v>
      </c>
      <c r="Y35" s="16">
        <v>104072.0029085</v>
      </c>
      <c r="Z35" s="16">
        <v>103685.20569240001</v>
      </c>
      <c r="AA35" s="16">
        <v>103075.3652289</v>
      </c>
      <c r="AB35" s="16">
        <v>102082.1081767</v>
      </c>
      <c r="AC35" s="16">
        <v>100310.9202509</v>
      </c>
      <c r="AD35" s="16">
        <v>98547.261434800006</v>
      </c>
      <c r="AE35" s="10">
        <v>90797.968825399992</v>
      </c>
      <c r="AF35" s="15">
        <v>84644.170487999989</v>
      </c>
    </row>
    <row r="36" spans="1:32">
      <c r="A36" s="39" t="str">
        <f>VLOOKUP("&lt;Zeilentitel_26&gt;",Uebersetzungen!$B$3:$E$294,Uebersetzungen!$B$2+1,FALSE)</f>
        <v>50 + 51</v>
      </c>
      <c r="B36" s="8" t="str">
        <f>VLOOKUP("&lt;Zeilentitel_26.1&gt;",Uebersetzungen!$B$3:$E$294,Uebersetzungen!$B$2+1,FALSE)</f>
        <v>Schifffahrt und Luftfahrt</v>
      </c>
      <c r="D36" s="9">
        <v>18664</v>
      </c>
      <c r="E36" s="16">
        <v>16455</v>
      </c>
      <c r="F36" s="16">
        <v>17152</v>
      </c>
      <c r="G36" s="16">
        <v>18499</v>
      </c>
      <c r="H36" s="16">
        <v>17480</v>
      </c>
      <c r="I36" s="16">
        <v>16660</v>
      </c>
      <c r="J36" s="16">
        <v>16633</v>
      </c>
      <c r="K36" s="16">
        <v>16052</v>
      </c>
      <c r="L36" s="16">
        <v>15787</v>
      </c>
      <c r="M36" s="16">
        <v>15474</v>
      </c>
      <c r="N36" s="16">
        <v>14990</v>
      </c>
      <c r="O36" s="16">
        <v>14493</v>
      </c>
      <c r="P36" s="10">
        <v>13031</v>
      </c>
      <c r="Q36" s="15">
        <v>11826</v>
      </c>
      <c r="S36" s="9">
        <v>15855.0337423</v>
      </c>
      <c r="T36" s="16">
        <v>14015.430225599999</v>
      </c>
      <c r="U36" s="16">
        <v>14611.2188291</v>
      </c>
      <c r="V36" s="16">
        <v>15640.055215799999</v>
      </c>
      <c r="W36" s="16">
        <v>14716.6039224</v>
      </c>
      <c r="X36" s="16">
        <v>13911.075585299999</v>
      </c>
      <c r="Y36" s="16">
        <v>13928.9777834</v>
      </c>
      <c r="Z36" s="16">
        <v>13543.7600389</v>
      </c>
      <c r="AA36" s="16">
        <v>13566.655647199999</v>
      </c>
      <c r="AB36" s="16">
        <v>13290.6666322</v>
      </c>
      <c r="AC36" s="16">
        <v>12725.034859900001</v>
      </c>
      <c r="AD36" s="16">
        <v>12454.8712223</v>
      </c>
      <c r="AE36" s="10">
        <v>11394.474717539</v>
      </c>
      <c r="AF36" s="15">
        <v>9500.6331798589999</v>
      </c>
    </row>
    <row r="37" spans="1:32">
      <c r="A37" s="39">
        <f>VLOOKUP("&lt;Zeilentitel_27&gt;",Uebersetzungen!$B$3:$E$294,Uebersetzungen!$B$2+1,FALSE)</f>
        <v>52</v>
      </c>
      <c r="B37" s="8" t="str">
        <f>VLOOKUP("&lt;Zeilentitel_27.1&gt;",Uebersetzungen!$B$3:$E$294,Uebersetzungen!$B$2+1,FALSE)</f>
        <v>Lagerei sowie Erbringung von sonstigen Dienstleistungen für den Verkehr</v>
      </c>
      <c r="D37" s="9">
        <v>63606</v>
      </c>
      <c r="E37" s="16">
        <v>61276</v>
      </c>
      <c r="F37" s="16">
        <v>60145</v>
      </c>
      <c r="G37" s="16">
        <v>61547</v>
      </c>
      <c r="H37" s="16">
        <v>60558</v>
      </c>
      <c r="I37" s="16">
        <v>59639</v>
      </c>
      <c r="J37" s="16">
        <v>58940</v>
      </c>
      <c r="K37" s="16">
        <v>57189</v>
      </c>
      <c r="L37" s="16">
        <v>57212</v>
      </c>
      <c r="M37" s="16">
        <v>56952</v>
      </c>
      <c r="N37" s="16">
        <v>56885</v>
      </c>
      <c r="O37" s="16">
        <v>56945</v>
      </c>
      <c r="P37" s="10">
        <v>54340</v>
      </c>
      <c r="Q37" s="15">
        <v>51275</v>
      </c>
      <c r="S37" s="9">
        <v>55835.445938700002</v>
      </c>
      <c r="T37" s="16">
        <v>53811.316335299998</v>
      </c>
      <c r="U37" s="16">
        <v>53279.873486800003</v>
      </c>
      <c r="V37" s="16">
        <v>53907.246673499998</v>
      </c>
      <c r="W37" s="16">
        <v>52785.143404900002</v>
      </c>
      <c r="X37" s="16">
        <v>51886.472952700002</v>
      </c>
      <c r="Y37" s="16">
        <v>51429.960520599998</v>
      </c>
      <c r="Z37" s="16">
        <v>49677.463935500004</v>
      </c>
      <c r="AA37" s="16">
        <v>49626.606631900002</v>
      </c>
      <c r="AB37" s="16">
        <v>49379.9716586</v>
      </c>
      <c r="AC37" s="16">
        <v>49398.111615000002</v>
      </c>
      <c r="AD37" s="16">
        <v>49149.844237400001</v>
      </c>
      <c r="AE37" s="10">
        <v>46865.733288150994</v>
      </c>
      <c r="AF37" s="15">
        <v>44076.226386809998</v>
      </c>
    </row>
    <row r="38" spans="1:32">
      <c r="A38" s="39">
        <f>VLOOKUP("&lt;Zeilentitel_28&gt;",Uebersetzungen!$B$3:$E$294,Uebersetzungen!$B$2+1,FALSE)</f>
        <v>53</v>
      </c>
      <c r="B38" s="8" t="str">
        <f>VLOOKUP("&lt;Zeilentitel_28.1&gt;",Uebersetzungen!$B$3:$E$294,Uebersetzungen!$B$2+1,FALSE)</f>
        <v>Post-, Kurier- und Expressdienste</v>
      </c>
      <c r="D38" s="9">
        <v>44033</v>
      </c>
      <c r="E38" s="16">
        <v>44248</v>
      </c>
      <c r="F38" s="16">
        <v>44106</v>
      </c>
      <c r="G38" s="16">
        <v>43802</v>
      </c>
      <c r="H38" s="16">
        <v>44768</v>
      </c>
      <c r="I38" s="16">
        <v>45086</v>
      </c>
      <c r="J38" s="16">
        <v>46555</v>
      </c>
      <c r="K38" s="16">
        <v>47510</v>
      </c>
      <c r="L38" s="16">
        <v>46933</v>
      </c>
      <c r="M38" s="16">
        <v>47733</v>
      </c>
      <c r="N38" s="16">
        <v>48691</v>
      </c>
      <c r="O38" s="16">
        <v>48504</v>
      </c>
      <c r="P38" s="10">
        <v>63459</v>
      </c>
      <c r="Q38" s="15">
        <v>64358</v>
      </c>
      <c r="S38" s="9">
        <v>32543.780083500002</v>
      </c>
      <c r="T38" s="16">
        <v>32633.572100099998</v>
      </c>
      <c r="U38" s="16">
        <v>32721.634682399999</v>
      </c>
      <c r="V38" s="16">
        <v>31649.1112139</v>
      </c>
      <c r="W38" s="16">
        <v>31347.2354853</v>
      </c>
      <c r="X38" s="16">
        <v>32010.402364000001</v>
      </c>
      <c r="Y38" s="16">
        <v>32789.407451200001</v>
      </c>
      <c r="Z38" s="16">
        <v>33626.818703999998</v>
      </c>
      <c r="AA38" s="16">
        <v>33136.6466105</v>
      </c>
      <c r="AB38" s="16">
        <v>33802.453544800002</v>
      </c>
      <c r="AC38" s="16">
        <v>35184.472803199998</v>
      </c>
      <c r="AD38" s="16">
        <v>35299.041272299997</v>
      </c>
      <c r="AE38" s="10">
        <v>40944.612234380002</v>
      </c>
      <c r="AF38" s="15">
        <v>42358.678877069993</v>
      </c>
    </row>
    <row r="39" spans="1:32">
      <c r="A39" s="39">
        <f>VLOOKUP("&lt;Zeilentitel_29&gt;",Uebersetzungen!$B$3:$E$294,Uebersetzungen!$B$2+1,FALSE)</f>
        <v>55</v>
      </c>
      <c r="B39" s="8" t="str">
        <f>VLOOKUP("&lt;Zeilentitel_29.1&gt;",Uebersetzungen!$B$3:$E$294,Uebersetzungen!$B$2+1,FALSE)</f>
        <v>Beherbergung</v>
      </c>
      <c r="D39" s="9">
        <v>77953</v>
      </c>
      <c r="E39" s="16">
        <v>71557</v>
      </c>
      <c r="F39" s="16">
        <v>67430</v>
      </c>
      <c r="G39" s="16">
        <v>77121</v>
      </c>
      <c r="H39" s="16">
        <v>76792</v>
      </c>
      <c r="I39" s="16">
        <v>76431</v>
      </c>
      <c r="J39" s="16">
        <v>76712</v>
      </c>
      <c r="K39" s="16">
        <v>77129</v>
      </c>
      <c r="L39" s="16">
        <v>77605</v>
      </c>
      <c r="M39" s="16">
        <v>77751</v>
      </c>
      <c r="N39" s="16">
        <v>76005</v>
      </c>
      <c r="O39" s="16">
        <v>76554</v>
      </c>
      <c r="P39" s="10">
        <v>82713</v>
      </c>
      <c r="Q39" s="15">
        <v>78365</v>
      </c>
      <c r="S39" s="9">
        <v>64559.158802600003</v>
      </c>
      <c r="T39" s="16">
        <v>58692.119390100001</v>
      </c>
      <c r="U39" s="16">
        <v>55514.8840213</v>
      </c>
      <c r="V39" s="16">
        <v>62041.819782400002</v>
      </c>
      <c r="W39" s="16">
        <v>62165.471846</v>
      </c>
      <c r="X39" s="16">
        <v>61219.021846900003</v>
      </c>
      <c r="Y39" s="16">
        <v>61755.121141000003</v>
      </c>
      <c r="Z39" s="16">
        <v>62529.411592199998</v>
      </c>
      <c r="AA39" s="16">
        <v>63107.835503800001</v>
      </c>
      <c r="AB39" s="16">
        <v>62943.224254799999</v>
      </c>
      <c r="AC39" s="16">
        <v>61280.702323099998</v>
      </c>
      <c r="AD39" s="16">
        <v>61506.9648447</v>
      </c>
      <c r="AE39" s="10">
        <v>68607.094125500007</v>
      </c>
      <c r="AF39" s="15">
        <v>65139.208432399995</v>
      </c>
    </row>
    <row r="40" spans="1:32">
      <c r="A40" s="39">
        <f>VLOOKUP("&lt;Zeilentitel_30&gt;",Uebersetzungen!$B$3:$E$294,Uebersetzungen!$B$2+1,FALSE)</f>
        <v>56</v>
      </c>
      <c r="B40" s="8" t="str">
        <f>VLOOKUP("&lt;Zeilentitel_30.1&gt;",Uebersetzungen!$B$3:$E$294,Uebersetzungen!$B$2+1,FALSE)</f>
        <v>Gastronomie</v>
      </c>
      <c r="D40" s="9">
        <v>186715</v>
      </c>
      <c r="E40" s="16">
        <v>174507</v>
      </c>
      <c r="F40" s="16">
        <v>167758</v>
      </c>
      <c r="G40" s="16">
        <v>184326</v>
      </c>
      <c r="H40" s="16">
        <v>181134</v>
      </c>
      <c r="I40" s="16">
        <v>178678</v>
      </c>
      <c r="J40" s="16">
        <v>177094</v>
      </c>
      <c r="K40" s="16">
        <v>174446</v>
      </c>
      <c r="L40" s="16">
        <v>173674</v>
      </c>
      <c r="M40" s="16">
        <v>171036</v>
      </c>
      <c r="N40" s="16">
        <v>169873</v>
      </c>
      <c r="O40" s="16">
        <v>169341</v>
      </c>
      <c r="P40" s="10">
        <v>177274</v>
      </c>
      <c r="Q40" s="15">
        <v>168686</v>
      </c>
      <c r="S40" s="9">
        <v>135810.76610929999</v>
      </c>
      <c r="T40" s="16">
        <v>127134.47126789999</v>
      </c>
      <c r="U40" s="16">
        <v>121039.9761384</v>
      </c>
      <c r="V40" s="16">
        <v>131452.3044542</v>
      </c>
      <c r="W40" s="16">
        <v>128844.5738979</v>
      </c>
      <c r="X40" s="16">
        <v>125289.394674</v>
      </c>
      <c r="Y40" s="16">
        <v>125289.99462490001</v>
      </c>
      <c r="Z40" s="16">
        <v>123433.1776061</v>
      </c>
      <c r="AA40" s="16">
        <v>122997.0325614</v>
      </c>
      <c r="AB40" s="16">
        <v>120549.84228349999</v>
      </c>
      <c r="AC40" s="16">
        <v>120066.9884669</v>
      </c>
      <c r="AD40" s="16">
        <v>119393.12246470001</v>
      </c>
      <c r="AE40" s="10">
        <v>123465.94833639999</v>
      </c>
      <c r="AF40" s="15">
        <v>118246.37772339999</v>
      </c>
    </row>
    <row r="41" spans="1:32">
      <c r="A41" s="39" t="str">
        <f>VLOOKUP("&lt;Zeilentitel_31&gt;",Uebersetzungen!$B$3:$E$294,Uebersetzungen!$B$2+1,FALSE)</f>
        <v>58 bis 60</v>
      </c>
      <c r="B41" s="8" t="str">
        <f>VLOOKUP("&lt;Zeilentitel_31.1&gt;",Uebersetzungen!$B$3:$E$294,Uebersetzungen!$B$2+1,FALSE)</f>
        <v>Verlagswesen, audiovisuelle Medien und Rundfunk</v>
      </c>
      <c r="D41" s="9">
        <v>38599</v>
      </c>
      <c r="E41" s="16">
        <v>37401</v>
      </c>
      <c r="F41" s="16">
        <v>36612</v>
      </c>
      <c r="G41" s="16">
        <v>38294</v>
      </c>
      <c r="H41" s="16">
        <v>38191</v>
      </c>
      <c r="I41" s="16">
        <v>38140</v>
      </c>
      <c r="J41" s="16">
        <v>38851</v>
      </c>
      <c r="K41" s="16">
        <v>39426</v>
      </c>
      <c r="L41" s="16">
        <v>40211</v>
      </c>
      <c r="M41" s="16">
        <v>40000</v>
      </c>
      <c r="N41" s="16">
        <v>40310</v>
      </c>
      <c r="O41" s="16">
        <v>40906</v>
      </c>
      <c r="P41" s="10">
        <v>38839</v>
      </c>
      <c r="Q41" s="15">
        <v>37743</v>
      </c>
      <c r="S41" s="9">
        <v>27511.6106416</v>
      </c>
      <c r="T41" s="16">
        <v>26969.952213699999</v>
      </c>
      <c r="U41" s="16">
        <v>26864.445030899999</v>
      </c>
      <c r="V41" s="16">
        <v>28098.387779500001</v>
      </c>
      <c r="W41" s="16">
        <v>27487.161124900002</v>
      </c>
      <c r="X41" s="16">
        <v>27482.8217616</v>
      </c>
      <c r="Y41" s="16">
        <v>28101.472976699999</v>
      </c>
      <c r="Z41" s="16">
        <v>28357.019151699998</v>
      </c>
      <c r="AA41" s="16">
        <v>28836.2735741</v>
      </c>
      <c r="AB41" s="16">
        <v>28750.6176805</v>
      </c>
      <c r="AC41" s="16">
        <v>29036.997807200001</v>
      </c>
      <c r="AD41" s="16">
        <v>29447.6339133</v>
      </c>
      <c r="AE41" s="10">
        <v>27119.072011429998</v>
      </c>
      <c r="AF41" s="15">
        <v>26239.844818969999</v>
      </c>
    </row>
    <row r="42" spans="1:32">
      <c r="A42" s="39">
        <f>VLOOKUP("&lt;Zeilentitel_32&gt;",Uebersetzungen!$B$3:$E$294,Uebersetzungen!$B$2+1,FALSE)</f>
        <v>61</v>
      </c>
      <c r="B42" s="8" t="str">
        <f>VLOOKUP("&lt;Zeilentitel_32.1&gt;",Uebersetzungen!$B$3:$E$294,Uebersetzungen!$B$2+1,FALSE)</f>
        <v>Telekommunikation</v>
      </c>
      <c r="D42" s="9">
        <v>25457</v>
      </c>
      <c r="E42" s="16">
        <v>25880</v>
      </c>
      <c r="F42" s="16">
        <v>26374</v>
      </c>
      <c r="G42" s="16">
        <v>26806</v>
      </c>
      <c r="H42" s="16">
        <v>27113</v>
      </c>
      <c r="I42" s="16">
        <v>27561</v>
      </c>
      <c r="J42" s="16">
        <v>28221</v>
      </c>
      <c r="K42" s="16">
        <v>28348</v>
      </c>
      <c r="L42" s="16">
        <v>25945</v>
      </c>
      <c r="M42" s="16">
        <v>24761</v>
      </c>
      <c r="N42" s="16">
        <v>24748</v>
      </c>
      <c r="O42" s="16">
        <v>25120</v>
      </c>
      <c r="P42" s="10">
        <v>22507</v>
      </c>
      <c r="Q42" s="15">
        <v>24461</v>
      </c>
      <c r="S42" s="9">
        <v>23553.823374700001</v>
      </c>
      <c r="T42" s="16">
        <v>23407.192907299999</v>
      </c>
      <c r="U42" s="16">
        <v>23947.141148999999</v>
      </c>
      <c r="V42" s="16">
        <v>24397.744676999999</v>
      </c>
      <c r="W42" s="16">
        <v>24800.918061699998</v>
      </c>
      <c r="X42" s="16">
        <v>24696.532258899999</v>
      </c>
      <c r="Y42" s="16">
        <v>25621.4576032</v>
      </c>
      <c r="Z42" s="16">
        <v>26060.344297899999</v>
      </c>
      <c r="AA42" s="16">
        <v>23795.116576699998</v>
      </c>
      <c r="AB42" s="16">
        <v>22675.6151249</v>
      </c>
      <c r="AC42" s="16">
        <v>22617.8464121</v>
      </c>
      <c r="AD42" s="16">
        <v>23224.544846299999</v>
      </c>
      <c r="AE42" s="10">
        <v>20882.980607238998</v>
      </c>
      <c r="AF42" s="15">
        <v>22437.832298050002</v>
      </c>
    </row>
    <row r="43" spans="1:32">
      <c r="A43" s="39" t="str">
        <f>VLOOKUP("&lt;Zeilentitel_33&gt;",Uebersetzungen!$B$3:$E$294,Uebersetzungen!$B$2+1,FALSE)</f>
        <v>62 + 63</v>
      </c>
      <c r="B43" s="8" t="str">
        <f>VLOOKUP("&lt;Zeilentitel_33.1&gt;",Uebersetzungen!$B$3:$E$294,Uebersetzungen!$B$2+1,FALSE)</f>
        <v>Informationstechnologische und Informationsdienstleistungen</v>
      </c>
      <c r="D43" s="9">
        <v>141712</v>
      </c>
      <c r="E43" s="16">
        <v>133360</v>
      </c>
      <c r="F43" s="16">
        <v>124904</v>
      </c>
      <c r="G43" s="16">
        <v>120874</v>
      </c>
      <c r="H43" s="16">
        <v>114441</v>
      </c>
      <c r="I43" s="16">
        <v>108898</v>
      </c>
      <c r="J43" s="16">
        <v>104194</v>
      </c>
      <c r="K43" s="16">
        <v>100806</v>
      </c>
      <c r="L43" s="16">
        <v>101580</v>
      </c>
      <c r="M43" s="16">
        <v>98304</v>
      </c>
      <c r="N43" s="16">
        <v>95881</v>
      </c>
      <c r="O43" s="16">
        <v>93466</v>
      </c>
      <c r="P43" s="10">
        <v>77313</v>
      </c>
      <c r="Q43" s="15">
        <v>68100</v>
      </c>
      <c r="S43" s="9">
        <v>124152.05252680001</v>
      </c>
      <c r="T43" s="16">
        <v>116382.02262259999</v>
      </c>
      <c r="U43" s="16">
        <v>109134.8769992</v>
      </c>
      <c r="V43" s="16">
        <v>105943.95391529999</v>
      </c>
      <c r="W43" s="16">
        <v>99939.394404399995</v>
      </c>
      <c r="X43" s="16">
        <v>94326.461250699998</v>
      </c>
      <c r="Y43" s="16">
        <v>90528.600510799995</v>
      </c>
      <c r="Z43" s="16">
        <v>86874.514526600004</v>
      </c>
      <c r="AA43" s="16">
        <v>88040.709021000002</v>
      </c>
      <c r="AB43" s="16">
        <v>85549.533839099997</v>
      </c>
      <c r="AC43" s="16">
        <v>83263.858502999996</v>
      </c>
      <c r="AD43" s="16">
        <v>81150.358754899993</v>
      </c>
      <c r="AE43" s="10">
        <v>66160.196349870006</v>
      </c>
      <c r="AF43" s="15">
        <v>57995.906946840012</v>
      </c>
    </row>
    <row r="44" spans="1:32">
      <c r="A44" s="39">
        <f>VLOOKUP("&lt;Zeilentitel_34&gt;",Uebersetzungen!$B$3:$E$294,Uebersetzungen!$B$2+1,FALSE)</f>
        <v>64</v>
      </c>
      <c r="B44" s="8" t="str">
        <f>VLOOKUP("&lt;Zeilentitel_34.1&gt;",Uebersetzungen!$B$3:$E$294,Uebersetzungen!$B$2+1,FALSE)</f>
        <v>Erbringung von Finanzdienstleistungen</v>
      </c>
      <c r="D44" s="9">
        <v>123573</v>
      </c>
      <c r="E44" s="16">
        <v>120985</v>
      </c>
      <c r="F44" s="16">
        <v>119681</v>
      </c>
      <c r="G44" s="16">
        <v>120305</v>
      </c>
      <c r="H44" s="16">
        <v>121051</v>
      </c>
      <c r="I44" s="16">
        <v>122254</v>
      </c>
      <c r="J44" s="16">
        <v>132274</v>
      </c>
      <c r="K44" s="16">
        <v>133024</v>
      </c>
      <c r="L44" s="16">
        <v>133959</v>
      </c>
      <c r="M44" s="16">
        <v>136173</v>
      </c>
      <c r="N44" s="16">
        <v>138871</v>
      </c>
      <c r="O44" s="16">
        <v>142280</v>
      </c>
      <c r="P44" s="10">
        <v>141658</v>
      </c>
      <c r="Q44" s="15">
        <v>126878</v>
      </c>
      <c r="S44" s="9">
        <v>108552.59270930001</v>
      </c>
      <c r="T44" s="16">
        <v>106417.2105349</v>
      </c>
      <c r="U44" s="16">
        <v>104877.8345286</v>
      </c>
      <c r="V44" s="16">
        <v>104459.7971928</v>
      </c>
      <c r="W44" s="16">
        <v>106487.0550507</v>
      </c>
      <c r="X44" s="16">
        <v>107479.1598269</v>
      </c>
      <c r="Y44" s="16">
        <v>116654.7973064</v>
      </c>
      <c r="Z44" s="16">
        <v>117033.8219831</v>
      </c>
      <c r="AA44" s="16">
        <v>117753.71104939999</v>
      </c>
      <c r="AB44" s="16">
        <v>119748.20818050001</v>
      </c>
      <c r="AC44" s="16">
        <v>121848.0828339</v>
      </c>
      <c r="AD44" s="16">
        <v>124939.9385743</v>
      </c>
      <c r="AE44" s="10">
        <v>124466.56001999999</v>
      </c>
      <c r="AF44" s="15">
        <v>111431.3403482</v>
      </c>
    </row>
    <row r="45" spans="1:32">
      <c r="A45" s="39">
        <f>VLOOKUP("&lt;Zeilentitel_35&gt;",Uebersetzungen!$B$3:$E$294,Uebersetzungen!$B$2+1,FALSE)</f>
        <v>65</v>
      </c>
      <c r="B45" s="8" t="str">
        <f>VLOOKUP("&lt;Zeilentitel_35.1&gt;",Uebersetzungen!$B$3:$E$294,Uebersetzungen!$B$2+1,FALSE)</f>
        <v>Versicherungen, Rückversicherungen und Pensionskassen (ohne Sozialversicherung)</v>
      </c>
      <c r="D45" s="9">
        <v>51554</v>
      </c>
      <c r="E45" s="16">
        <v>51059</v>
      </c>
      <c r="F45" s="16">
        <v>51446</v>
      </c>
      <c r="G45" s="16">
        <v>50757</v>
      </c>
      <c r="H45" s="16">
        <v>50032</v>
      </c>
      <c r="I45" s="16">
        <v>52127</v>
      </c>
      <c r="J45" s="16">
        <v>52107</v>
      </c>
      <c r="K45" s="16">
        <v>53502</v>
      </c>
      <c r="L45" s="16">
        <v>52780</v>
      </c>
      <c r="M45" s="16">
        <v>53007</v>
      </c>
      <c r="N45" s="16">
        <v>52057</v>
      </c>
      <c r="O45" s="16">
        <v>51855</v>
      </c>
      <c r="P45" s="10">
        <v>58968</v>
      </c>
      <c r="Q45" s="15">
        <v>60930</v>
      </c>
      <c r="S45" s="9">
        <v>43611.264885199998</v>
      </c>
      <c r="T45" s="16">
        <v>42880.109966800002</v>
      </c>
      <c r="U45" s="16">
        <v>43309.479314199998</v>
      </c>
      <c r="V45" s="16">
        <v>42414.5045942</v>
      </c>
      <c r="W45" s="16">
        <v>42148.382264100001</v>
      </c>
      <c r="X45" s="16">
        <v>43995.795050599998</v>
      </c>
      <c r="Y45" s="16">
        <v>44063.446299499999</v>
      </c>
      <c r="Z45" s="16">
        <v>45564.753953500003</v>
      </c>
      <c r="AA45" s="16">
        <v>44871.375857500003</v>
      </c>
      <c r="AB45" s="16">
        <v>44831.140525299998</v>
      </c>
      <c r="AC45" s="16">
        <v>43820.356650900001</v>
      </c>
      <c r="AD45" s="16">
        <v>43584.954156400003</v>
      </c>
      <c r="AE45" s="10">
        <v>50408.518999189997</v>
      </c>
      <c r="AF45" s="15">
        <v>52565.170419819995</v>
      </c>
    </row>
    <row r="46" spans="1:32">
      <c r="A46" s="39">
        <f>VLOOKUP("&lt;Zeilentitel_36&gt;",Uebersetzungen!$B$3:$E$294,Uebersetzungen!$B$2+1,FALSE)</f>
        <v>66</v>
      </c>
      <c r="B46" s="8" t="str">
        <f>VLOOKUP("&lt;Zeilentitel_36.1&gt;",Uebersetzungen!$B$3:$E$294,Uebersetzungen!$B$2+1,FALSE)</f>
        <v>Mit Finanz- und Versicherungsdienstleistungen verbundene Tätigkeiten</v>
      </c>
      <c r="D46" s="9">
        <v>81676</v>
      </c>
      <c r="E46" s="16">
        <v>78499</v>
      </c>
      <c r="F46" s="16">
        <v>76877</v>
      </c>
      <c r="G46" s="16">
        <v>74726</v>
      </c>
      <c r="H46" s="16">
        <v>72720</v>
      </c>
      <c r="I46" s="16">
        <v>69349</v>
      </c>
      <c r="J46" s="16">
        <v>69063</v>
      </c>
      <c r="K46" s="16">
        <v>68654</v>
      </c>
      <c r="L46" s="16">
        <v>67195</v>
      </c>
      <c r="M46" s="16">
        <v>65372</v>
      </c>
      <c r="N46" s="16">
        <v>65139</v>
      </c>
      <c r="O46" s="16">
        <v>64326</v>
      </c>
      <c r="P46" s="10">
        <v>45180</v>
      </c>
      <c r="Q46" s="15">
        <v>36605</v>
      </c>
      <c r="S46" s="9">
        <v>69112.321957599997</v>
      </c>
      <c r="T46" s="16">
        <v>66382.173406500006</v>
      </c>
      <c r="U46" s="16">
        <v>64582.514931999998</v>
      </c>
      <c r="V46" s="16">
        <v>62145.711904900003</v>
      </c>
      <c r="W46" s="16">
        <v>61040.444164400004</v>
      </c>
      <c r="X46" s="16">
        <v>58608.208911299997</v>
      </c>
      <c r="Y46" s="16">
        <v>58049.525878799999</v>
      </c>
      <c r="Z46" s="16">
        <v>58148.498641899998</v>
      </c>
      <c r="AA46" s="16">
        <v>56856.362666699999</v>
      </c>
      <c r="AB46" s="16">
        <v>55446.562669500003</v>
      </c>
      <c r="AC46" s="16">
        <v>55377.269235799999</v>
      </c>
      <c r="AD46" s="16">
        <v>54709.128967099998</v>
      </c>
      <c r="AE46" s="10">
        <v>37061.725354000002</v>
      </c>
      <c r="AF46" s="15">
        <v>29216.709244780002</v>
      </c>
    </row>
    <row r="47" spans="1:32">
      <c r="A47" s="39">
        <f>VLOOKUP("&lt;Zeilentitel_37&gt;",Uebersetzungen!$B$3:$E$294,Uebersetzungen!$B$2+1,FALSE)</f>
        <v>68</v>
      </c>
      <c r="B47" s="8" t="str">
        <f>VLOOKUP("&lt;Zeilentitel_37.1&gt;",Uebersetzungen!$B$3:$E$294,Uebersetzungen!$B$2+1,FALSE)</f>
        <v>Grundstücks- und Wohnungswesen</v>
      </c>
      <c r="D47" s="9">
        <v>76516</v>
      </c>
      <c r="E47" s="16">
        <v>75826</v>
      </c>
      <c r="F47" s="16">
        <v>74911</v>
      </c>
      <c r="G47" s="16">
        <v>73779</v>
      </c>
      <c r="H47" s="16">
        <v>72353</v>
      </c>
      <c r="I47" s="16">
        <v>72916</v>
      </c>
      <c r="J47" s="16">
        <v>71130</v>
      </c>
      <c r="K47" s="16">
        <v>69662</v>
      </c>
      <c r="L47" s="16">
        <v>68074</v>
      </c>
      <c r="M47" s="16">
        <v>67549</v>
      </c>
      <c r="N47" s="16">
        <v>67450</v>
      </c>
      <c r="O47" s="16">
        <v>66503</v>
      </c>
      <c r="P47" s="10">
        <v>46591</v>
      </c>
      <c r="Q47" s="15">
        <v>38722</v>
      </c>
      <c r="S47" s="9">
        <v>46399.563841299998</v>
      </c>
      <c r="T47" s="16">
        <v>47384.591878400002</v>
      </c>
      <c r="U47" s="16">
        <v>45584.0274316</v>
      </c>
      <c r="V47" s="16">
        <v>44412.758587099997</v>
      </c>
      <c r="W47" s="16">
        <v>43500.975980199997</v>
      </c>
      <c r="X47" s="16">
        <v>42717.417085399997</v>
      </c>
      <c r="Y47" s="16">
        <v>41989.1414621</v>
      </c>
      <c r="Z47" s="16">
        <v>41153.147700499998</v>
      </c>
      <c r="AA47" s="16">
        <v>40167.5067452</v>
      </c>
      <c r="AB47" s="16">
        <v>39543.748658199998</v>
      </c>
      <c r="AC47" s="16">
        <v>39053.6659593</v>
      </c>
      <c r="AD47" s="16">
        <v>38658.603343800001</v>
      </c>
      <c r="AE47" s="10">
        <v>27857.594158929998</v>
      </c>
      <c r="AF47" s="15">
        <v>23294.823383260002</v>
      </c>
    </row>
    <row r="48" spans="1:32">
      <c r="A48" s="39">
        <f>VLOOKUP("&lt;Zeilentitel_38&gt;",Uebersetzungen!$B$3:$E$294,Uebersetzungen!$B$2+1,FALSE)</f>
        <v>69</v>
      </c>
      <c r="B48" s="8" t="str">
        <f>VLOOKUP("&lt;Zeilentitel_38.1&gt;",Uebersetzungen!$B$3:$E$294,Uebersetzungen!$B$2+1,FALSE)</f>
        <v>Rechts- und Steuerberatung, Wirtschaftsprüfung</v>
      </c>
      <c r="D48" s="9">
        <v>90555</v>
      </c>
      <c r="E48" s="16">
        <v>89319</v>
      </c>
      <c r="F48" s="16">
        <v>87694</v>
      </c>
      <c r="G48" s="16">
        <v>87518</v>
      </c>
      <c r="H48" s="16">
        <v>86737</v>
      </c>
      <c r="I48" s="16">
        <v>85744</v>
      </c>
      <c r="J48" s="16">
        <v>84751</v>
      </c>
      <c r="K48" s="16">
        <v>83465</v>
      </c>
      <c r="L48" s="16">
        <v>82566</v>
      </c>
      <c r="M48" s="16">
        <v>81130</v>
      </c>
      <c r="N48" s="16">
        <v>80226</v>
      </c>
      <c r="O48" s="16">
        <v>79843</v>
      </c>
      <c r="P48" s="10">
        <v>72969</v>
      </c>
      <c r="Q48" s="15">
        <v>67217</v>
      </c>
      <c r="S48" s="9">
        <v>69559.477191500002</v>
      </c>
      <c r="T48" s="16">
        <v>68986.121830899996</v>
      </c>
      <c r="U48" s="16">
        <v>67908.232944000003</v>
      </c>
      <c r="V48" s="16">
        <v>67842.345404599997</v>
      </c>
      <c r="W48" s="16">
        <v>67010.773772700006</v>
      </c>
      <c r="X48" s="16">
        <v>65117.789756500002</v>
      </c>
      <c r="Y48" s="16">
        <v>64435.7488428</v>
      </c>
      <c r="Z48" s="16">
        <v>63410.235131300004</v>
      </c>
      <c r="AA48" s="16">
        <v>62599.981456599999</v>
      </c>
      <c r="AB48" s="16">
        <v>61351.933536899996</v>
      </c>
      <c r="AC48" s="16">
        <v>60535.929348600002</v>
      </c>
      <c r="AD48" s="16">
        <v>60536.157732200001</v>
      </c>
      <c r="AE48" s="10">
        <v>55125.631933440003</v>
      </c>
      <c r="AF48" s="15">
        <v>50878.548479710007</v>
      </c>
    </row>
    <row r="49" spans="1:32">
      <c r="A49" s="39">
        <f>VLOOKUP("&lt;Zeilentitel_39&gt;",Uebersetzungen!$B$3:$E$294,Uebersetzungen!$B$2+1,FALSE)</f>
        <v>70</v>
      </c>
      <c r="B49" s="8" t="str">
        <f>VLOOKUP("&lt;Zeilentitel_39.1&gt;",Uebersetzungen!$B$3:$E$294,Uebersetzungen!$B$2+1,FALSE)</f>
        <v>Verwaltung und Führung von Unternehmen und Betrieben; Unternehmensberatung</v>
      </c>
      <c r="D49" s="9">
        <v>144579</v>
      </c>
      <c r="E49" s="16">
        <v>137648</v>
      </c>
      <c r="F49" s="16">
        <v>132010</v>
      </c>
      <c r="G49" s="16">
        <v>130065</v>
      </c>
      <c r="H49" s="16">
        <v>126981</v>
      </c>
      <c r="I49" s="16">
        <v>122107</v>
      </c>
      <c r="J49" s="16">
        <v>110088</v>
      </c>
      <c r="K49" s="16">
        <v>106853</v>
      </c>
      <c r="L49" s="16">
        <v>104512</v>
      </c>
      <c r="M49" s="16">
        <v>101548</v>
      </c>
      <c r="N49" s="16">
        <v>98419</v>
      </c>
      <c r="O49" s="16">
        <v>95068</v>
      </c>
      <c r="P49" s="10">
        <v>79275</v>
      </c>
      <c r="Q49" s="15">
        <v>65647</v>
      </c>
      <c r="S49" s="9">
        <v>120730.4286511</v>
      </c>
      <c r="T49" s="16">
        <v>115271.26423869999</v>
      </c>
      <c r="U49" s="16">
        <v>111159.77320169999</v>
      </c>
      <c r="V49" s="16">
        <v>109514.68355459999</v>
      </c>
      <c r="W49" s="16">
        <v>106901.4830012</v>
      </c>
      <c r="X49" s="16">
        <v>101600.6085629</v>
      </c>
      <c r="Y49" s="16">
        <v>90942.887782399994</v>
      </c>
      <c r="Z49" s="16">
        <v>88463.203604599999</v>
      </c>
      <c r="AA49" s="16">
        <v>86675.208392999994</v>
      </c>
      <c r="AB49" s="16">
        <v>84356.682990400004</v>
      </c>
      <c r="AC49" s="16">
        <v>81684.823039900002</v>
      </c>
      <c r="AD49" s="16">
        <v>79186.167167899999</v>
      </c>
      <c r="AE49" s="10">
        <v>64719.288322569992</v>
      </c>
      <c r="AF49" s="15">
        <v>53516.269607879993</v>
      </c>
    </row>
    <row r="50" spans="1:32">
      <c r="A50" s="39">
        <f>VLOOKUP("&lt;Zeilentitel_40&gt;",Uebersetzungen!$B$3:$E$294,Uebersetzungen!$B$2+1,FALSE)</f>
        <v>71</v>
      </c>
      <c r="B50" s="8" t="str">
        <f>VLOOKUP("&lt;Zeilentitel_40.1&gt;",Uebersetzungen!$B$3:$E$294,Uebersetzungen!$B$2+1,FALSE)</f>
        <v>Architektur- und Ingenieurbüros; technische, physikalische und chemische Untersuchung</v>
      </c>
      <c r="D50" s="9">
        <v>145941</v>
      </c>
      <c r="E50" s="16">
        <v>142261</v>
      </c>
      <c r="F50" s="16">
        <v>139074</v>
      </c>
      <c r="G50" s="16">
        <v>138275</v>
      </c>
      <c r="H50" s="16">
        <v>135657</v>
      </c>
      <c r="I50" s="16">
        <v>133299</v>
      </c>
      <c r="J50" s="16">
        <v>130512</v>
      </c>
      <c r="K50" s="16">
        <v>128767</v>
      </c>
      <c r="L50" s="16">
        <v>126841</v>
      </c>
      <c r="M50" s="16">
        <v>123706</v>
      </c>
      <c r="N50" s="16">
        <v>119817</v>
      </c>
      <c r="O50" s="16">
        <v>115671</v>
      </c>
      <c r="P50" s="10">
        <v>106099</v>
      </c>
      <c r="Q50" s="15">
        <v>94352</v>
      </c>
      <c r="S50" s="9">
        <v>121231.7151091</v>
      </c>
      <c r="T50" s="16">
        <v>118910.6509776</v>
      </c>
      <c r="U50" s="16">
        <v>117008.0241041</v>
      </c>
      <c r="V50" s="16">
        <v>116052.42026689999</v>
      </c>
      <c r="W50" s="16">
        <v>113548.67926819999</v>
      </c>
      <c r="X50" s="16">
        <v>110307.4215419</v>
      </c>
      <c r="Y50" s="16">
        <v>107773.9036054</v>
      </c>
      <c r="Z50" s="16">
        <v>106577.23570960001</v>
      </c>
      <c r="AA50" s="16">
        <v>104992.5502728</v>
      </c>
      <c r="AB50" s="16">
        <v>102521.7226731</v>
      </c>
      <c r="AC50" s="16">
        <v>99126.262041099995</v>
      </c>
      <c r="AD50" s="16">
        <v>95507.217996000007</v>
      </c>
      <c r="AE50" s="10">
        <v>88431.608581200009</v>
      </c>
      <c r="AF50" s="15">
        <v>78762.913149019994</v>
      </c>
    </row>
    <row r="51" spans="1:32">
      <c r="A51" s="39">
        <f>VLOOKUP("&lt;Zeilentitel_41&gt;",Uebersetzungen!$B$3:$E$294,Uebersetzungen!$B$2+1,FALSE)</f>
        <v>72</v>
      </c>
      <c r="B51" s="8" t="str">
        <f>VLOOKUP("&lt;Zeilentitel_41.1&gt;",Uebersetzungen!$B$3:$E$294,Uebersetzungen!$B$2+1,FALSE)</f>
        <v>Forschung und Entwicklung</v>
      </c>
      <c r="D51" s="9">
        <v>36362</v>
      </c>
      <c r="E51" s="16">
        <v>34342</v>
      </c>
      <c r="F51" s="16">
        <v>30809</v>
      </c>
      <c r="G51" s="16">
        <v>28962</v>
      </c>
      <c r="H51" s="16">
        <v>27742</v>
      </c>
      <c r="I51" s="16">
        <v>26762</v>
      </c>
      <c r="J51" s="16">
        <v>25628</v>
      </c>
      <c r="K51" s="16">
        <v>24698</v>
      </c>
      <c r="L51" s="16">
        <v>24456</v>
      </c>
      <c r="M51" s="16">
        <v>23773</v>
      </c>
      <c r="N51" s="16">
        <v>24598</v>
      </c>
      <c r="O51" s="16">
        <v>24744</v>
      </c>
      <c r="P51" s="10">
        <v>20458</v>
      </c>
      <c r="Q51" s="15">
        <v>17285</v>
      </c>
      <c r="S51" s="9">
        <v>32249.615897</v>
      </c>
      <c r="T51" s="16">
        <v>30622.8663438</v>
      </c>
      <c r="U51" s="16">
        <v>27375.877235399999</v>
      </c>
      <c r="V51" s="16">
        <v>25583.1316204</v>
      </c>
      <c r="W51" s="16">
        <v>24639.0042245</v>
      </c>
      <c r="X51" s="16">
        <v>23483.473996100001</v>
      </c>
      <c r="Y51" s="16">
        <v>22450.666497999999</v>
      </c>
      <c r="Z51" s="16">
        <v>21695.280158000001</v>
      </c>
      <c r="AA51" s="16">
        <v>21518.670856199999</v>
      </c>
      <c r="AB51" s="16">
        <v>20851.488782799999</v>
      </c>
      <c r="AC51" s="16">
        <v>21616.057652799998</v>
      </c>
      <c r="AD51" s="16">
        <v>21864.2628773</v>
      </c>
      <c r="AE51" s="10">
        <v>17652.361044505</v>
      </c>
      <c r="AF51" s="15">
        <v>14811.729591230996</v>
      </c>
    </row>
    <row r="52" spans="1:32">
      <c r="A52" s="39" t="str">
        <f>VLOOKUP("&lt;Zeilentitel_42&gt;",Uebersetzungen!$B$3:$E$294,Uebersetzungen!$B$2+1,FALSE)</f>
        <v>73 bis 75</v>
      </c>
      <c r="B52" s="8" t="str">
        <f>VLOOKUP("&lt;Zeilentitel_42.1&gt;",Uebersetzungen!$B$3:$E$294,Uebersetzungen!$B$2+1,FALSE)</f>
        <v>Sonstige freiberufliche, wissenschaftliche und technische Tätigkeiten</v>
      </c>
      <c r="D52" s="9">
        <v>73988</v>
      </c>
      <c r="E52" s="16">
        <v>70649</v>
      </c>
      <c r="F52" s="16">
        <v>68351</v>
      </c>
      <c r="G52" s="16">
        <v>69265</v>
      </c>
      <c r="H52" s="16">
        <v>68306</v>
      </c>
      <c r="I52" s="16">
        <v>68460</v>
      </c>
      <c r="J52" s="16">
        <v>67485</v>
      </c>
      <c r="K52" s="16">
        <v>66870</v>
      </c>
      <c r="L52" s="16">
        <v>66208</v>
      </c>
      <c r="M52" s="16">
        <v>64317</v>
      </c>
      <c r="N52" s="16">
        <v>63134</v>
      </c>
      <c r="O52" s="16">
        <v>62624</v>
      </c>
      <c r="P52" s="10">
        <v>63672</v>
      </c>
      <c r="Q52" s="15">
        <v>60620</v>
      </c>
      <c r="S52" s="9">
        <v>49508.266857499999</v>
      </c>
      <c r="T52" s="16">
        <v>48417.499657</v>
      </c>
      <c r="U52" s="16">
        <v>47536.2689732</v>
      </c>
      <c r="V52" s="16">
        <v>47905.9529711</v>
      </c>
      <c r="W52" s="16">
        <v>46992.116914699996</v>
      </c>
      <c r="X52" s="16">
        <v>46611.318164800003</v>
      </c>
      <c r="Y52" s="16">
        <v>46311.1402696</v>
      </c>
      <c r="Z52" s="16">
        <v>45423.8358935</v>
      </c>
      <c r="AA52" s="16">
        <v>44965.481931000002</v>
      </c>
      <c r="AB52" s="16">
        <v>43994.453694999997</v>
      </c>
      <c r="AC52" s="16">
        <v>43427.072828900004</v>
      </c>
      <c r="AD52" s="16">
        <v>43073.205259800001</v>
      </c>
      <c r="AE52" s="10">
        <v>41328.882199810003</v>
      </c>
      <c r="AF52" s="15">
        <v>39733.252106960004</v>
      </c>
    </row>
    <row r="53" spans="1:32">
      <c r="A53" s="39" t="str">
        <f>VLOOKUP("&lt;Zeilentitel_43&gt;",Uebersetzungen!$B$3:$E$294,Uebersetzungen!$B$2+1,FALSE)</f>
        <v>77 + 79 bis 82</v>
      </c>
      <c r="B53" s="8" t="str">
        <f>VLOOKUP("&lt;Zeilentitel_43.1&gt;",Uebersetzungen!$B$3:$E$294,Uebersetzungen!$B$2+1,FALSE)</f>
        <v>Erbringung von sonstigen wirtschaftlichen Dienstleistungen</v>
      </c>
      <c r="D53" s="9">
        <v>229288</v>
      </c>
      <c r="E53" s="16">
        <v>223002</v>
      </c>
      <c r="F53" s="16">
        <v>216393</v>
      </c>
      <c r="G53" s="16">
        <v>220603</v>
      </c>
      <c r="H53" s="16">
        <v>215119</v>
      </c>
      <c r="I53" s="16">
        <v>211704</v>
      </c>
      <c r="J53" s="16">
        <v>207596</v>
      </c>
      <c r="K53" s="16">
        <v>203360</v>
      </c>
      <c r="L53" s="16">
        <v>197883</v>
      </c>
      <c r="M53" s="16">
        <v>192529</v>
      </c>
      <c r="N53" s="16">
        <v>187114</v>
      </c>
      <c r="O53" s="16">
        <v>182627</v>
      </c>
      <c r="P53" s="10">
        <v>184117</v>
      </c>
      <c r="Q53" s="15">
        <v>160447</v>
      </c>
      <c r="S53" s="9">
        <v>154276.8190433</v>
      </c>
      <c r="T53" s="16">
        <v>150008.09693510001</v>
      </c>
      <c r="U53" s="16">
        <v>143235.4212143</v>
      </c>
      <c r="V53" s="16">
        <v>147065.5552457</v>
      </c>
      <c r="W53" s="16">
        <v>144459.36336819999</v>
      </c>
      <c r="X53" s="16">
        <v>141741.71758540001</v>
      </c>
      <c r="Y53" s="16">
        <v>137431.06077099999</v>
      </c>
      <c r="Z53" s="16">
        <v>134648.36625610001</v>
      </c>
      <c r="AA53" s="16">
        <v>131037.6880387</v>
      </c>
      <c r="AB53" s="16">
        <v>127412.3347215</v>
      </c>
      <c r="AC53" s="16">
        <v>123616.14089710001</v>
      </c>
      <c r="AD53" s="16">
        <v>120000.06063570001</v>
      </c>
      <c r="AE53" s="10">
        <v>113783.92624978998</v>
      </c>
      <c r="AF53" s="15">
        <v>95798.137631030011</v>
      </c>
    </row>
    <row r="54" spans="1:32">
      <c r="A54" s="39">
        <f>VLOOKUP("&lt;Zeilentitel_44&gt;",Uebersetzungen!$B$3:$E$294,Uebersetzungen!$B$2+1,FALSE)</f>
        <v>78</v>
      </c>
      <c r="B54" s="8" t="str">
        <f>VLOOKUP("&lt;Zeilentitel_44.1&gt;",Uebersetzungen!$B$3:$E$294,Uebersetzungen!$B$2+1,FALSE)</f>
        <v>Vermittlung und Überlassung von Arbeitskräften</v>
      </c>
      <c r="D54" s="9">
        <v>148778</v>
      </c>
      <c r="E54" s="16">
        <v>140231</v>
      </c>
      <c r="F54" s="16">
        <v>118554</v>
      </c>
      <c r="G54" s="16">
        <v>127612</v>
      </c>
      <c r="H54" s="16">
        <v>126486</v>
      </c>
      <c r="I54" s="16">
        <v>122525</v>
      </c>
      <c r="J54" s="16">
        <v>112980</v>
      </c>
      <c r="K54" s="16">
        <v>107590</v>
      </c>
      <c r="L54" s="16">
        <v>109027</v>
      </c>
      <c r="M54" s="16">
        <v>108482</v>
      </c>
      <c r="N54" s="16">
        <v>99908</v>
      </c>
      <c r="O54" s="16">
        <v>99819</v>
      </c>
      <c r="P54" s="10">
        <v>99093</v>
      </c>
      <c r="Q54" s="15">
        <v>73562</v>
      </c>
      <c r="S54" s="9">
        <v>113132.81775459999</v>
      </c>
      <c r="T54" s="16">
        <v>107868.30438099999</v>
      </c>
      <c r="U54" s="16">
        <v>93226.102777299995</v>
      </c>
      <c r="V54" s="16">
        <v>100488.793644</v>
      </c>
      <c r="W54" s="16">
        <v>100707.24547959999</v>
      </c>
      <c r="X54" s="16">
        <v>96920.558316900002</v>
      </c>
      <c r="Y54" s="16">
        <v>89660.585521999994</v>
      </c>
      <c r="Z54" s="16">
        <v>85155.457379800006</v>
      </c>
      <c r="AA54" s="16">
        <v>86483.069107699994</v>
      </c>
      <c r="AB54" s="16">
        <v>86517.521169900006</v>
      </c>
      <c r="AC54" s="16">
        <v>78951.958638199998</v>
      </c>
      <c r="AD54" s="16">
        <v>79037.310187700001</v>
      </c>
      <c r="AE54" s="10">
        <v>72149.371923889994</v>
      </c>
      <c r="AF54" s="15">
        <v>53937.053477408997</v>
      </c>
    </row>
    <row r="55" spans="1:32">
      <c r="A55" s="39">
        <f>VLOOKUP("&lt;Zeilentitel_45&gt;",Uebersetzungen!$B$3:$E$294,Uebersetzungen!$B$2+1,FALSE)</f>
        <v>84</v>
      </c>
      <c r="B55" s="8" t="str">
        <f>VLOOKUP("&lt;Zeilentitel_45.1&gt;",Uebersetzungen!$B$3:$E$294,Uebersetzungen!$B$2+1,FALSE)</f>
        <v>Öffentliche Verwaltung, Verteidigung; Sozialversicherung</v>
      </c>
      <c r="D55" s="9">
        <v>210133</v>
      </c>
      <c r="E55" s="16">
        <v>209605</v>
      </c>
      <c r="F55" s="16">
        <v>207163</v>
      </c>
      <c r="G55" s="16">
        <v>201363</v>
      </c>
      <c r="H55" s="16">
        <v>197252</v>
      </c>
      <c r="I55" s="16">
        <v>194140</v>
      </c>
      <c r="J55" s="16">
        <v>192873</v>
      </c>
      <c r="K55" s="16">
        <v>191189</v>
      </c>
      <c r="L55" s="16">
        <v>188760</v>
      </c>
      <c r="M55" s="16">
        <v>187110</v>
      </c>
      <c r="N55" s="16">
        <v>184699</v>
      </c>
      <c r="O55" s="16">
        <v>182412</v>
      </c>
      <c r="P55" s="10">
        <v>182087</v>
      </c>
      <c r="Q55" s="15">
        <v>174788</v>
      </c>
      <c r="S55" s="9">
        <v>171531.23561410001</v>
      </c>
      <c r="T55" s="16">
        <v>171011.83004949999</v>
      </c>
      <c r="U55" s="16">
        <v>168881.00817099999</v>
      </c>
      <c r="V55" s="16">
        <v>164414.13894110001</v>
      </c>
      <c r="W55" s="16">
        <v>161482.93493670001</v>
      </c>
      <c r="X55" s="16">
        <v>159481.4486758</v>
      </c>
      <c r="Y55" s="16">
        <v>158633.85083459999</v>
      </c>
      <c r="Z55" s="16">
        <v>156838.40536400001</v>
      </c>
      <c r="AA55" s="16">
        <v>155138.4052372</v>
      </c>
      <c r="AB55" s="16">
        <v>153463.4988569</v>
      </c>
      <c r="AC55" s="16">
        <v>151450.67099899999</v>
      </c>
      <c r="AD55" s="16">
        <v>149633.77013779999</v>
      </c>
      <c r="AE55" s="10">
        <v>144668.5294686</v>
      </c>
      <c r="AF55" s="15">
        <v>140046.55776349996</v>
      </c>
    </row>
    <row r="56" spans="1:32">
      <c r="A56" s="39">
        <f>VLOOKUP("&lt;Zeilentitel_46&gt;",Uebersetzungen!$B$3:$E$294,Uebersetzungen!$B$2+1,FALSE)</f>
        <v>85</v>
      </c>
      <c r="B56" s="8" t="str">
        <f>VLOOKUP("&lt;Zeilentitel_46.1&gt;",Uebersetzungen!$B$3:$E$294,Uebersetzungen!$B$2+1,FALSE)</f>
        <v>Erziehung und Unterricht</v>
      </c>
      <c r="D56" s="9">
        <v>414214</v>
      </c>
      <c r="E56" s="16">
        <v>404406</v>
      </c>
      <c r="F56" s="16">
        <v>392860</v>
      </c>
      <c r="G56" s="16">
        <v>388192</v>
      </c>
      <c r="H56" s="16">
        <v>378060</v>
      </c>
      <c r="I56" s="16">
        <v>369386</v>
      </c>
      <c r="J56" s="16">
        <v>364662</v>
      </c>
      <c r="K56" s="16">
        <v>357139</v>
      </c>
      <c r="L56" s="16">
        <v>351283</v>
      </c>
      <c r="M56" s="16">
        <v>345315</v>
      </c>
      <c r="N56" s="16">
        <v>338357</v>
      </c>
      <c r="O56" s="16">
        <v>333529</v>
      </c>
      <c r="P56" s="10">
        <v>316523</v>
      </c>
      <c r="Q56" s="15">
        <v>302707</v>
      </c>
      <c r="S56" s="9">
        <v>254064.66058200001</v>
      </c>
      <c r="T56" s="16">
        <v>249492.5889342</v>
      </c>
      <c r="U56" s="16">
        <v>242607.85729019999</v>
      </c>
      <c r="V56" s="16">
        <v>240884.49994119999</v>
      </c>
      <c r="W56" s="16">
        <v>236957.63282960001</v>
      </c>
      <c r="X56" s="16">
        <v>228005.73684900001</v>
      </c>
      <c r="Y56" s="16">
        <v>223454.82675070001</v>
      </c>
      <c r="Z56" s="16">
        <v>218284.72013189999</v>
      </c>
      <c r="AA56" s="16">
        <v>214390.55785760001</v>
      </c>
      <c r="AB56" s="16">
        <v>210361.64376840001</v>
      </c>
      <c r="AC56" s="16">
        <v>207396.24845489999</v>
      </c>
      <c r="AD56" s="16">
        <v>204166.5261059</v>
      </c>
      <c r="AE56" s="10">
        <v>188749.72048089997</v>
      </c>
      <c r="AF56" s="15">
        <v>180162.21447599999</v>
      </c>
    </row>
    <row r="57" spans="1:32">
      <c r="A57" s="39">
        <f>VLOOKUP("&lt;Zeilentitel_47&gt;",Uebersetzungen!$B$3:$E$294,Uebersetzungen!$B$2+1,FALSE)</f>
        <v>86</v>
      </c>
      <c r="B57" s="8" t="str">
        <f>VLOOKUP("&lt;Zeilentitel_47.1&gt;",Uebersetzungen!$B$3:$E$294,Uebersetzungen!$B$2+1,FALSE)</f>
        <v>Gesundheitswesen</v>
      </c>
      <c r="D57" s="9">
        <v>458743</v>
      </c>
      <c r="E57" s="16">
        <v>450028</v>
      </c>
      <c r="F57" s="16">
        <v>436349</v>
      </c>
      <c r="G57" s="16">
        <v>424111</v>
      </c>
      <c r="H57" s="16">
        <v>416430</v>
      </c>
      <c r="I57" s="16">
        <v>408516</v>
      </c>
      <c r="J57" s="16">
        <v>397991</v>
      </c>
      <c r="K57" s="16">
        <v>387474</v>
      </c>
      <c r="L57" s="16">
        <v>375174</v>
      </c>
      <c r="M57" s="16">
        <v>362454</v>
      </c>
      <c r="N57" s="16">
        <v>350209</v>
      </c>
      <c r="O57" s="16">
        <v>340868</v>
      </c>
      <c r="P57" s="10">
        <v>296624</v>
      </c>
      <c r="Q57" s="15">
        <v>278843</v>
      </c>
      <c r="S57" s="9">
        <v>326702.16831129999</v>
      </c>
      <c r="T57" s="16">
        <v>316921.09737650002</v>
      </c>
      <c r="U57" s="16">
        <v>311285.45857050002</v>
      </c>
      <c r="V57" s="16">
        <v>302735.4164018</v>
      </c>
      <c r="W57" s="16">
        <v>297198.67848800001</v>
      </c>
      <c r="X57" s="16">
        <v>288713.02295060002</v>
      </c>
      <c r="Y57" s="16">
        <v>283114.0657489</v>
      </c>
      <c r="Z57" s="16">
        <v>276219.38633419998</v>
      </c>
      <c r="AA57" s="16">
        <v>266653.59826599999</v>
      </c>
      <c r="AB57" s="16">
        <v>257573.5336737</v>
      </c>
      <c r="AC57" s="16">
        <v>248720.9342662</v>
      </c>
      <c r="AD57" s="16">
        <v>240920.81666059999</v>
      </c>
      <c r="AE57" s="10">
        <v>209833.85121919998</v>
      </c>
      <c r="AF57" s="15">
        <v>195733.77019759998</v>
      </c>
    </row>
    <row r="58" spans="1:32">
      <c r="A58" s="39">
        <f>VLOOKUP("&lt;Zeilentitel_48&gt;",Uebersetzungen!$B$3:$E$294,Uebersetzungen!$B$2+1,FALSE)</f>
        <v>87</v>
      </c>
      <c r="B58" s="8" t="str">
        <f>VLOOKUP("&lt;Zeilentitel_48.1&gt;",Uebersetzungen!$B$3:$E$294,Uebersetzungen!$B$2+1,FALSE)</f>
        <v>Heime (ohne Erholungs- und Ferienheime)</v>
      </c>
      <c r="D58" s="9">
        <v>205856</v>
      </c>
      <c r="E58" s="16">
        <v>199646</v>
      </c>
      <c r="F58" s="16">
        <v>202034</v>
      </c>
      <c r="G58" s="16">
        <v>198251</v>
      </c>
      <c r="H58" s="16">
        <v>195417</v>
      </c>
      <c r="I58" s="16">
        <v>192125</v>
      </c>
      <c r="J58" s="16">
        <v>188790</v>
      </c>
      <c r="K58" s="16">
        <v>184389</v>
      </c>
      <c r="L58" s="16">
        <v>181027</v>
      </c>
      <c r="M58" s="16">
        <v>178137</v>
      </c>
      <c r="N58" s="16">
        <v>174138</v>
      </c>
      <c r="O58" s="16">
        <v>169591</v>
      </c>
      <c r="P58" s="10">
        <v>163718</v>
      </c>
      <c r="Q58" s="15">
        <v>150870</v>
      </c>
      <c r="S58" s="9">
        <v>146039.51350520001</v>
      </c>
      <c r="T58" s="16">
        <v>139265.0051143</v>
      </c>
      <c r="U58" s="16">
        <v>142724.77651940001</v>
      </c>
      <c r="V58" s="16">
        <v>140645.19992019999</v>
      </c>
      <c r="W58" s="16">
        <v>138037.22220009999</v>
      </c>
      <c r="X58" s="16">
        <v>134540.44676570001</v>
      </c>
      <c r="Y58" s="16">
        <v>132018.8746986</v>
      </c>
      <c r="Z58" s="16">
        <v>129567.5697596</v>
      </c>
      <c r="AA58" s="16">
        <v>126463.00125270001</v>
      </c>
      <c r="AB58" s="16">
        <v>123887.8884059</v>
      </c>
      <c r="AC58" s="16">
        <v>120990.1808456</v>
      </c>
      <c r="AD58" s="16">
        <v>117558.611475</v>
      </c>
      <c r="AE58" s="10">
        <v>112953.52019519999</v>
      </c>
      <c r="AF58" s="15">
        <v>101832.25829240002</v>
      </c>
    </row>
    <row r="59" spans="1:32">
      <c r="A59" s="39">
        <f>VLOOKUP("&lt;Zeilentitel_49&gt;",Uebersetzungen!$B$3:$E$294,Uebersetzungen!$B$2+1,FALSE)</f>
        <v>88</v>
      </c>
      <c r="B59" s="8" t="str">
        <f>VLOOKUP("&lt;Zeilentitel_49.1&gt;",Uebersetzungen!$B$3:$E$294,Uebersetzungen!$B$2+1,FALSE)</f>
        <v xml:space="preserve">Sozialwesen (ohne Heime)
</v>
      </c>
      <c r="D59" s="9">
        <v>138928</v>
      </c>
      <c r="E59" s="16">
        <v>132617</v>
      </c>
      <c r="F59" s="16">
        <v>127808</v>
      </c>
      <c r="G59" s="16">
        <v>126439</v>
      </c>
      <c r="H59" s="16">
        <v>121406</v>
      </c>
      <c r="I59" s="16">
        <v>118107</v>
      </c>
      <c r="J59" s="16">
        <v>114165</v>
      </c>
      <c r="K59" s="16">
        <v>110124</v>
      </c>
      <c r="L59" s="16">
        <v>105048</v>
      </c>
      <c r="M59" s="16">
        <v>100573</v>
      </c>
      <c r="N59" s="16">
        <v>95191</v>
      </c>
      <c r="O59" s="16">
        <v>91485</v>
      </c>
      <c r="P59" s="10">
        <v>90056</v>
      </c>
      <c r="Q59" s="15">
        <v>76573</v>
      </c>
      <c r="S59" s="9">
        <v>85649.569374900006</v>
      </c>
      <c r="T59" s="16">
        <v>80526.540593800004</v>
      </c>
      <c r="U59" s="16">
        <v>78454.545066799998</v>
      </c>
      <c r="V59" s="16">
        <v>77332.895985700001</v>
      </c>
      <c r="W59" s="16">
        <v>73964.793906100007</v>
      </c>
      <c r="X59" s="16">
        <v>70646.206340100005</v>
      </c>
      <c r="Y59" s="16">
        <v>68121.710397200004</v>
      </c>
      <c r="Z59" s="16">
        <v>65758.445615000004</v>
      </c>
      <c r="AA59" s="16">
        <v>62304.576932999997</v>
      </c>
      <c r="AB59" s="16">
        <v>59431.825744000002</v>
      </c>
      <c r="AC59" s="16">
        <v>55944.564666099999</v>
      </c>
      <c r="AD59" s="16">
        <v>53510.301198200003</v>
      </c>
      <c r="AE59" s="10">
        <v>52803.857791309994</v>
      </c>
      <c r="AF59" s="15">
        <v>42867.043580129997</v>
      </c>
    </row>
    <row r="60" spans="1:32">
      <c r="A60" s="39" t="str">
        <f>VLOOKUP("&lt;Zeilentitel_50&gt;",Uebersetzungen!$B$3:$E$294,Uebersetzungen!$B$2+1,FALSE)</f>
        <v>90 bis 93</v>
      </c>
      <c r="B60" s="8" t="str">
        <f>VLOOKUP("&lt;Zeilentitel_50.1&gt;",Uebersetzungen!$B$3:$E$294,Uebersetzungen!$B$2+1,FALSE)</f>
        <v>Kunst, Unterhaltung und Erholung</v>
      </c>
      <c r="D60" s="9">
        <v>112784</v>
      </c>
      <c r="E60" s="16">
        <v>106491</v>
      </c>
      <c r="F60" s="16">
        <v>102431</v>
      </c>
      <c r="G60" s="16">
        <v>107820</v>
      </c>
      <c r="H60" s="16">
        <v>103161</v>
      </c>
      <c r="I60" s="16">
        <v>100635</v>
      </c>
      <c r="J60" s="16">
        <v>97097</v>
      </c>
      <c r="K60" s="16">
        <v>94681</v>
      </c>
      <c r="L60" s="16">
        <v>91690</v>
      </c>
      <c r="M60" s="16">
        <v>88293</v>
      </c>
      <c r="N60" s="16">
        <v>84955</v>
      </c>
      <c r="O60" s="16">
        <v>82041</v>
      </c>
      <c r="P60" s="10">
        <v>81003</v>
      </c>
      <c r="Q60" s="15">
        <v>73980</v>
      </c>
      <c r="S60" s="9">
        <v>63222.175028099999</v>
      </c>
      <c r="T60" s="16">
        <v>61314.957649800002</v>
      </c>
      <c r="U60" s="16">
        <v>59202.052877499998</v>
      </c>
      <c r="V60" s="16">
        <v>59847.282638099998</v>
      </c>
      <c r="W60" s="16">
        <v>58887.535795000003</v>
      </c>
      <c r="X60" s="16">
        <v>57362.179709700002</v>
      </c>
      <c r="Y60" s="16">
        <v>54651.114590500001</v>
      </c>
      <c r="Z60" s="16">
        <v>54509.670063099999</v>
      </c>
      <c r="AA60" s="16">
        <v>53129.265212300001</v>
      </c>
      <c r="AB60" s="16">
        <v>51639.5236735</v>
      </c>
      <c r="AC60" s="16">
        <v>49523.211307099999</v>
      </c>
      <c r="AD60" s="16">
        <v>47847.4897958</v>
      </c>
      <c r="AE60" s="10">
        <v>42396.002791009989</v>
      </c>
      <c r="AF60" s="15">
        <v>38741.181114289997</v>
      </c>
    </row>
    <row r="61" spans="1:32">
      <c r="A61" s="39" t="str">
        <f>VLOOKUP("&lt;Zeilentitel_51&gt;",Uebersetzungen!$B$3:$E$294,Uebersetzungen!$B$2+1,FALSE)</f>
        <v>94 bis 96</v>
      </c>
      <c r="B61" s="8" t="str">
        <f>VLOOKUP("&lt;Zeilentitel_51.1&gt;",Uebersetzungen!$B$3:$E$294,Uebersetzungen!$B$2+1,FALSE)</f>
        <v>Erbringung von sonstigen Dienstleistungen</v>
      </c>
      <c r="D61" s="9">
        <v>189318</v>
      </c>
      <c r="E61" s="16">
        <v>184339</v>
      </c>
      <c r="F61" s="16">
        <v>178409</v>
      </c>
      <c r="G61" s="16">
        <v>182101</v>
      </c>
      <c r="H61" s="16">
        <v>179081</v>
      </c>
      <c r="I61" s="16">
        <v>175162</v>
      </c>
      <c r="J61" s="16">
        <v>172540</v>
      </c>
      <c r="K61" s="16">
        <v>169255</v>
      </c>
      <c r="L61" s="16">
        <v>166381</v>
      </c>
      <c r="M61" s="16">
        <v>161971</v>
      </c>
      <c r="N61" s="16">
        <v>158561</v>
      </c>
      <c r="O61" s="16">
        <v>155403</v>
      </c>
      <c r="P61" s="16">
        <v>131917</v>
      </c>
      <c r="Q61" s="15">
        <v>123056</v>
      </c>
      <c r="S61" s="9">
        <v>118626.09047159999</v>
      </c>
      <c r="T61" s="16">
        <v>113695.41904550001</v>
      </c>
      <c r="U61" s="16">
        <v>112702.2645512</v>
      </c>
      <c r="V61" s="16">
        <v>116395.8944057</v>
      </c>
      <c r="W61" s="16">
        <v>114528.884804</v>
      </c>
      <c r="X61" s="16">
        <v>110054.7994817</v>
      </c>
      <c r="Y61" s="16">
        <v>109250.5201408</v>
      </c>
      <c r="Z61" s="16">
        <v>107967.5927261</v>
      </c>
      <c r="AA61" s="16">
        <v>106643.0864723</v>
      </c>
      <c r="AB61" s="16">
        <v>103850.4266392</v>
      </c>
      <c r="AC61" s="16">
        <v>102739.0518814</v>
      </c>
      <c r="AD61" s="16">
        <v>100663.7883023</v>
      </c>
      <c r="AE61" s="16">
        <v>85997.508673600008</v>
      </c>
      <c r="AF61" s="15">
        <v>81470.117705669996</v>
      </c>
    </row>
    <row r="62" spans="1:32">
      <c r="A62" s="40" t="str">
        <f>VLOOKUP("&lt;Zeilentitel_52&gt;",Uebersetzungen!$B$3:$E$294,Uebersetzungen!$B$2+1,FALSE)</f>
        <v>Tertiärer Sektor</v>
      </c>
      <c r="B62" s="12"/>
      <c r="D62" s="13">
        <v>4298309</v>
      </c>
      <c r="E62" s="45">
        <v>4170581</v>
      </c>
      <c r="F62" s="45">
        <v>4052267</v>
      </c>
      <c r="G62" s="45">
        <v>4071011</v>
      </c>
      <c r="H62" s="45">
        <v>3999782</v>
      </c>
      <c r="I62" s="45">
        <v>3940693</v>
      </c>
      <c r="J62" s="45">
        <v>3882958</v>
      </c>
      <c r="K62" s="45">
        <v>3828470</v>
      </c>
      <c r="L62" s="45">
        <v>3782511</v>
      </c>
      <c r="M62" s="45">
        <v>3721466</v>
      </c>
      <c r="N62" s="45">
        <v>3656220</v>
      </c>
      <c r="O62" s="45">
        <v>3609652</v>
      </c>
      <c r="P62" s="17">
        <v>3482631</v>
      </c>
      <c r="Q62" s="14">
        <v>3223202</v>
      </c>
      <c r="S62" s="13">
        <v>3205369.3078288008</v>
      </c>
      <c r="T62" s="45">
        <v>3106399.0689651002</v>
      </c>
      <c r="U62" s="45">
        <v>3032449.2529377006</v>
      </c>
      <c r="V62" s="45">
        <v>3038640.8448766</v>
      </c>
      <c r="W62" s="45">
        <v>2990277.4356120997</v>
      </c>
      <c r="X62" s="45">
        <v>2925394.4571748003</v>
      </c>
      <c r="Y62" s="45">
        <v>2889040.0413425006</v>
      </c>
      <c r="Z62" s="45">
        <v>2852624.4799221996</v>
      </c>
      <c r="AA62" s="45">
        <v>2820711.3307097992</v>
      </c>
      <c r="AB62" s="45">
        <v>2776328.3755269004</v>
      </c>
      <c r="AC62" s="45">
        <v>2729166.0479137003</v>
      </c>
      <c r="AD62" s="45">
        <v>2693979.9929232993</v>
      </c>
      <c r="AE62" s="17">
        <v>2560977.7170160539</v>
      </c>
      <c r="AF62" s="14">
        <v>2365592.4239079892</v>
      </c>
    </row>
    <row r="63" spans="1:32" ht="15">
      <c r="A63" s="41" t="str">
        <f>VLOOKUP("&lt;Zeilentitel_53&gt;",Uebersetzungen!$B$3:$E$294,Uebersetzungen!$B$2+1,FALSE)</f>
        <v>Total</v>
      </c>
      <c r="B63" s="18" t="str">
        <f>VLOOKUP("&lt;Zeilentitel_53.1&gt;",Uebersetzungen!$B$3:$E$294,Uebersetzungen!$B$2+1,FALSE)</f>
        <v>Total</v>
      </c>
      <c r="D63" s="19">
        <v>5561101</v>
      </c>
      <c r="E63" s="20">
        <v>5417999</v>
      </c>
      <c r="F63" s="20">
        <v>5289594</v>
      </c>
      <c r="G63" s="20">
        <v>5322704</v>
      </c>
      <c r="H63" s="20">
        <v>5252344</v>
      </c>
      <c r="I63" s="20">
        <v>5182557</v>
      </c>
      <c r="J63" s="20">
        <v>5122323</v>
      </c>
      <c r="K63" s="20">
        <v>5079845</v>
      </c>
      <c r="L63" s="20">
        <v>5048430</v>
      </c>
      <c r="M63" s="20">
        <v>4983753</v>
      </c>
      <c r="N63" s="20">
        <v>4917345</v>
      </c>
      <c r="O63" s="20">
        <v>4866992</v>
      </c>
      <c r="P63" s="20">
        <v>4766481</v>
      </c>
      <c r="Q63" s="21">
        <v>4440163</v>
      </c>
      <c r="S63" s="19">
        <v>4315207.3650690997</v>
      </c>
      <c r="T63" s="20">
        <v>4201003.094172</v>
      </c>
      <c r="U63" s="20">
        <v>4119201.6380685004</v>
      </c>
      <c r="V63" s="20">
        <v>4140270.5484677996</v>
      </c>
      <c r="W63" s="20">
        <v>4093991.9187256997</v>
      </c>
      <c r="X63" s="20">
        <v>4013167.5095551005</v>
      </c>
      <c r="Y63" s="20">
        <v>3974372.8510741005</v>
      </c>
      <c r="Z63" s="20">
        <v>3949818.4387921998</v>
      </c>
      <c r="AA63" s="20">
        <v>3930487.648370299</v>
      </c>
      <c r="AB63" s="20">
        <v>3883655.9525499004</v>
      </c>
      <c r="AC63" s="20">
        <v>3832016.0925073004</v>
      </c>
      <c r="AD63" s="20">
        <v>3793539.288309399</v>
      </c>
      <c r="AE63" s="20">
        <v>3680874.447400148</v>
      </c>
      <c r="AF63" s="21">
        <v>3421258.854653805</v>
      </c>
    </row>
    <row r="65" spans="1:20">
      <c r="A65" s="7" t="str">
        <f>VLOOKUP("&lt;Legende_1&gt;",Uebersetzungen!$B$3:$E$315,Uebersetzungen!$B$2+1,FALSE)</f>
        <v>*Die Werte 2005 und 2008 basieren auf einem Schätzmodell, welches  die STATENT-Methode für die entsprechenden Jahre simuliert.</v>
      </c>
      <c r="T65" s="56"/>
    </row>
    <row r="67" spans="1:20">
      <c r="A67" s="7" t="str">
        <f>VLOOKUP("&lt;Quelle_1&gt;",Uebersetzungen!$B$3:$E$315,Uebersetzungen!$B$2+1,FALSE)</f>
        <v>Quelle: BFS (STATENT)</v>
      </c>
    </row>
    <row r="68" spans="1:20">
      <c r="A68" s="7" t="str">
        <f>VLOOKUP("&lt;Aktualisierung&gt;",Uebersetzungen!$B$3:$E$315,Uebersetzungen!$B$2+1,FALSE)</f>
        <v>Letztmals aktualisiert am: 22.08.2024</v>
      </c>
    </row>
  </sheetData>
  <sheetProtection sheet="1" objects="1" scenarios="1"/>
  <mergeCells count="2">
    <mergeCell ref="D10:Q10"/>
    <mergeCell ref="S10:AF10"/>
  </mergeCells>
  <pageMargins left="0.7" right="0.7" top="0.78740157499999996" bottom="0.78740157499999996" header="0.3" footer="0.3"/>
  <pageSetup paperSize="9" scale="67" orientation="portrait" r:id="rId1"/>
  <colBreaks count="1" manualBreakCount="1">
    <brk id="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Option Button 1">
              <controlPr defaultSize="0" autoFill="0" autoLine="0" autoPict="0">
                <anchor moveWithCells="1">
                  <from>
                    <xdr:col>1</xdr:col>
                    <xdr:colOff>4695825</xdr:colOff>
                    <xdr:row>1</xdr:row>
                    <xdr:rowOff>114300</xdr:rowOff>
                  </from>
                  <to>
                    <xdr:col>1</xdr:col>
                    <xdr:colOff>5743575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Option Button 2">
              <controlPr defaultSize="0" autoFill="0" autoLine="0" autoPict="0">
                <anchor moveWithCells="1">
                  <from>
                    <xdr:col>1</xdr:col>
                    <xdr:colOff>4695825</xdr:colOff>
                    <xdr:row>2</xdr:row>
                    <xdr:rowOff>104775</xdr:rowOff>
                  </from>
                  <to>
                    <xdr:col>1</xdr:col>
                    <xdr:colOff>6105525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Option Button 3">
              <controlPr defaultSize="0" autoFill="0" autoLine="0" autoPict="0">
                <anchor moveWithCells="1">
                  <from>
                    <xdr:col>1</xdr:col>
                    <xdr:colOff>4695825</xdr:colOff>
                    <xdr:row>3</xdr:row>
                    <xdr:rowOff>66675</xdr:rowOff>
                  </from>
                  <to>
                    <xdr:col>1</xdr:col>
                    <xdr:colOff>5743575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100" workbookViewId="0">
      <selection activeCell="E130" sqref="E130"/>
    </sheetView>
  </sheetViews>
  <sheetFormatPr baseColWidth="10" defaultColWidth="12.5703125" defaultRowHeight="12.75"/>
  <cols>
    <col min="1" max="1" width="8.5703125" style="28" bestFit="1" customWidth="1"/>
    <col min="2" max="2" width="17.7109375" style="28" bestFit="1" customWidth="1"/>
    <col min="3" max="3" width="46.7109375" style="28" bestFit="1" customWidth="1"/>
    <col min="4" max="4" width="47.5703125" style="28" bestFit="1" customWidth="1"/>
    <col min="5" max="5" width="47" style="28" bestFit="1" customWidth="1"/>
    <col min="6" max="16384" width="12.5703125" style="28"/>
  </cols>
  <sheetData>
    <row r="1" spans="1:6">
      <c r="A1" s="26" t="s">
        <v>74</v>
      </c>
      <c r="B1" s="26" t="s">
        <v>75</v>
      </c>
      <c r="C1" s="26" t="s">
        <v>76</v>
      </c>
      <c r="D1" s="26" t="s">
        <v>77</v>
      </c>
      <c r="E1" s="26" t="s">
        <v>78</v>
      </c>
      <c r="F1" s="27"/>
    </row>
    <row r="2" spans="1:6">
      <c r="A2" s="29" t="s">
        <v>79</v>
      </c>
      <c r="B2" s="30">
        <v>1</v>
      </c>
      <c r="C2" s="27"/>
      <c r="D2" s="27"/>
      <c r="E2" s="27"/>
      <c r="F2" s="27"/>
    </row>
    <row r="3" spans="1:6">
      <c r="A3" s="29"/>
      <c r="B3" s="28" t="s">
        <v>80</v>
      </c>
      <c r="C3" s="31" t="s">
        <v>81</v>
      </c>
      <c r="D3" s="31" t="s">
        <v>82</v>
      </c>
      <c r="E3" s="31" t="s">
        <v>83</v>
      </c>
      <c r="F3" s="27"/>
    </row>
    <row r="4" spans="1:6" ht="38.25">
      <c r="A4" s="29" t="s">
        <v>84</v>
      </c>
      <c r="B4" s="32" t="s">
        <v>85</v>
      </c>
      <c r="C4" s="33" t="s">
        <v>357</v>
      </c>
      <c r="D4" s="33" t="s">
        <v>358</v>
      </c>
      <c r="E4" s="33" t="s">
        <v>359</v>
      </c>
      <c r="F4" s="27"/>
    </row>
    <row r="5" spans="1:6">
      <c r="A5" s="29"/>
      <c r="B5" s="28" t="s">
        <v>86</v>
      </c>
      <c r="C5" s="34"/>
      <c r="D5" s="34"/>
      <c r="E5" s="34"/>
      <c r="F5" s="27"/>
    </row>
    <row r="6" spans="1:6">
      <c r="A6" s="29"/>
      <c r="B6" s="29"/>
      <c r="C6" s="35"/>
      <c r="D6" s="35"/>
      <c r="E6" s="35"/>
      <c r="F6" s="27"/>
    </row>
    <row r="7" spans="1:6" ht="14.25" customHeight="1">
      <c r="A7" s="29" t="s">
        <v>87</v>
      </c>
      <c r="B7" s="28" t="s">
        <v>88</v>
      </c>
      <c r="C7" s="34" t="s">
        <v>0</v>
      </c>
      <c r="D7" s="34" t="s">
        <v>342</v>
      </c>
      <c r="E7" s="34" t="s">
        <v>344</v>
      </c>
      <c r="F7" s="27"/>
    </row>
    <row r="8" spans="1:6">
      <c r="A8" s="29"/>
      <c r="B8" s="28" t="s">
        <v>89</v>
      </c>
      <c r="C8" s="34" t="s">
        <v>346</v>
      </c>
      <c r="D8" s="34" t="s">
        <v>343</v>
      </c>
      <c r="E8" s="34" t="s">
        <v>345</v>
      </c>
      <c r="F8" s="27"/>
    </row>
    <row r="9" spans="1:6">
      <c r="A9" s="29"/>
      <c r="B9" s="28" t="s">
        <v>90</v>
      </c>
      <c r="C9" s="34"/>
      <c r="D9" s="34"/>
      <c r="E9" s="34"/>
      <c r="F9" s="27"/>
    </row>
    <row r="10" spans="1:6">
      <c r="A10" s="27"/>
      <c r="B10" s="27"/>
      <c r="C10" s="36"/>
      <c r="D10" s="36"/>
      <c r="E10" s="36"/>
      <c r="F10" s="27"/>
    </row>
    <row r="11" spans="1:6">
      <c r="A11" s="29" t="s">
        <v>84</v>
      </c>
      <c r="B11" s="28" t="s">
        <v>91</v>
      </c>
      <c r="C11" s="34" t="s">
        <v>73</v>
      </c>
      <c r="D11" s="34" t="s">
        <v>317</v>
      </c>
      <c r="E11" s="34" t="s">
        <v>316</v>
      </c>
      <c r="F11" s="27"/>
    </row>
    <row r="12" spans="1:6">
      <c r="A12" s="27"/>
      <c r="B12" s="28" t="s">
        <v>92</v>
      </c>
      <c r="C12" s="34" t="s">
        <v>1</v>
      </c>
      <c r="D12" s="34" t="s">
        <v>318</v>
      </c>
      <c r="E12" s="34" t="s">
        <v>326</v>
      </c>
      <c r="F12" s="27"/>
    </row>
    <row r="13" spans="1:6">
      <c r="A13" s="27"/>
      <c r="B13" s="28" t="s">
        <v>93</v>
      </c>
      <c r="C13" s="34" t="s">
        <v>3</v>
      </c>
      <c r="D13" s="34" t="s">
        <v>290</v>
      </c>
      <c r="E13" s="34" t="s">
        <v>259</v>
      </c>
      <c r="F13" s="27"/>
    </row>
    <row r="14" spans="1:6">
      <c r="A14" s="27"/>
      <c r="B14" s="28" t="s">
        <v>94</v>
      </c>
      <c r="C14" s="34" t="s">
        <v>4</v>
      </c>
      <c r="D14" s="34" t="s">
        <v>319</v>
      </c>
      <c r="E14" s="34" t="s">
        <v>331</v>
      </c>
      <c r="F14" s="27"/>
    </row>
    <row r="15" spans="1:6">
      <c r="A15" s="27"/>
      <c r="B15" s="28" t="s">
        <v>95</v>
      </c>
      <c r="C15" s="34" t="s">
        <v>6</v>
      </c>
      <c r="D15" s="34" t="s">
        <v>320</v>
      </c>
      <c r="E15" s="34" t="s">
        <v>332</v>
      </c>
      <c r="F15" s="27"/>
    </row>
    <row r="16" spans="1:6">
      <c r="A16" s="27"/>
      <c r="B16" s="28" t="s">
        <v>96</v>
      </c>
      <c r="C16" s="34" t="s">
        <v>8</v>
      </c>
      <c r="D16" s="34" t="s">
        <v>321</v>
      </c>
      <c r="E16" s="34" t="s">
        <v>333</v>
      </c>
      <c r="F16" s="27"/>
    </row>
    <row r="17" spans="1:6">
      <c r="A17" s="27"/>
      <c r="B17" s="28" t="s">
        <v>97</v>
      </c>
      <c r="C17" s="34" t="s">
        <v>10</v>
      </c>
      <c r="D17" s="34" t="s">
        <v>322</v>
      </c>
      <c r="E17" s="34" t="s">
        <v>334</v>
      </c>
      <c r="F17" s="27"/>
    </row>
    <row r="18" spans="1:6">
      <c r="A18" s="27"/>
      <c r="B18" s="28" t="s">
        <v>98</v>
      </c>
      <c r="C18" s="34" t="s">
        <v>12</v>
      </c>
      <c r="D18" s="34" t="s">
        <v>12</v>
      </c>
      <c r="E18" s="34" t="s">
        <v>12</v>
      </c>
      <c r="F18" s="27"/>
    </row>
    <row r="19" spans="1:6">
      <c r="A19" s="27"/>
      <c r="B19" s="28" t="s">
        <v>99</v>
      </c>
      <c r="C19" s="34">
        <v>21</v>
      </c>
      <c r="D19" s="34">
        <v>21</v>
      </c>
      <c r="E19" s="34">
        <v>21</v>
      </c>
      <c r="F19" s="27"/>
    </row>
    <row r="20" spans="1:6">
      <c r="A20" s="27"/>
      <c r="B20" s="28" t="s">
        <v>100</v>
      </c>
      <c r="C20" s="34" t="s">
        <v>15</v>
      </c>
      <c r="D20" s="34" t="s">
        <v>15</v>
      </c>
      <c r="E20" s="34" t="s">
        <v>15</v>
      </c>
      <c r="F20" s="27"/>
    </row>
    <row r="21" spans="1:6">
      <c r="A21" s="27"/>
      <c r="B21" s="28" t="s">
        <v>101</v>
      </c>
      <c r="C21" s="34" t="s">
        <v>17</v>
      </c>
      <c r="D21" s="34" t="s">
        <v>17</v>
      </c>
      <c r="E21" s="34" t="s">
        <v>17</v>
      </c>
      <c r="F21" s="27"/>
    </row>
    <row r="22" spans="1:6">
      <c r="A22" s="27"/>
      <c r="B22" s="28" t="s">
        <v>102</v>
      </c>
      <c r="C22" s="34">
        <v>26</v>
      </c>
      <c r="D22" s="34">
        <v>26</v>
      </c>
      <c r="E22" s="34">
        <v>26</v>
      </c>
      <c r="F22" s="27"/>
    </row>
    <row r="23" spans="1:6">
      <c r="A23" s="27"/>
      <c r="B23" s="28" t="s">
        <v>103</v>
      </c>
      <c r="C23" s="34">
        <v>27</v>
      </c>
      <c r="D23" s="34">
        <v>27</v>
      </c>
      <c r="E23" s="34">
        <v>27</v>
      </c>
      <c r="F23" s="27"/>
    </row>
    <row r="24" spans="1:6">
      <c r="A24" s="27"/>
      <c r="B24" s="28" t="s">
        <v>104</v>
      </c>
      <c r="C24" s="34">
        <v>28</v>
      </c>
      <c r="D24" s="34">
        <v>28</v>
      </c>
      <c r="E24" s="34">
        <v>28</v>
      </c>
      <c r="F24" s="27"/>
    </row>
    <row r="25" spans="1:6">
      <c r="A25" s="27"/>
      <c r="B25" s="28" t="s">
        <v>105</v>
      </c>
      <c r="C25" s="34" t="s">
        <v>22</v>
      </c>
      <c r="D25" s="34" t="s">
        <v>22</v>
      </c>
      <c r="E25" s="34" t="s">
        <v>22</v>
      </c>
      <c r="F25" s="27"/>
    </row>
    <row r="26" spans="1:6">
      <c r="A26" s="27"/>
      <c r="B26" s="28" t="s">
        <v>106</v>
      </c>
      <c r="C26" s="34" t="s">
        <v>24</v>
      </c>
      <c r="D26" s="34" t="s">
        <v>323</v>
      </c>
      <c r="E26" s="34" t="s">
        <v>335</v>
      </c>
      <c r="F26" s="27"/>
    </row>
    <row r="27" spans="1:6">
      <c r="A27" s="27"/>
      <c r="B27" s="28" t="s">
        <v>107</v>
      </c>
      <c r="C27" s="34">
        <v>35</v>
      </c>
      <c r="D27" s="34">
        <v>35</v>
      </c>
      <c r="E27" s="34">
        <v>35</v>
      </c>
      <c r="F27" s="27"/>
    </row>
    <row r="28" spans="1:6">
      <c r="A28" s="27"/>
      <c r="B28" s="28" t="s">
        <v>108</v>
      </c>
      <c r="C28" s="34" t="s">
        <v>27</v>
      </c>
      <c r="D28" s="34" t="s">
        <v>324</v>
      </c>
      <c r="E28" s="34" t="s">
        <v>336</v>
      </c>
      <c r="F28" s="27"/>
    </row>
    <row r="29" spans="1:6">
      <c r="A29" s="27"/>
      <c r="B29" s="28" t="s">
        <v>109</v>
      </c>
      <c r="C29" s="34" t="s">
        <v>29</v>
      </c>
      <c r="D29" s="34" t="s">
        <v>29</v>
      </c>
      <c r="E29" s="34" t="s">
        <v>29</v>
      </c>
      <c r="F29" s="27"/>
    </row>
    <row r="30" spans="1:6">
      <c r="A30" s="27"/>
      <c r="B30" s="28" t="s">
        <v>110</v>
      </c>
      <c r="C30" s="34">
        <v>43</v>
      </c>
      <c r="D30" s="34">
        <v>43</v>
      </c>
      <c r="E30" s="34">
        <v>43</v>
      </c>
      <c r="F30" s="27"/>
    </row>
    <row r="31" spans="1:6">
      <c r="A31" s="27"/>
      <c r="B31" s="28" t="s">
        <v>111</v>
      </c>
      <c r="C31" s="34" t="s">
        <v>32</v>
      </c>
      <c r="D31" s="34" t="s">
        <v>302</v>
      </c>
      <c r="E31" s="34" t="s">
        <v>257</v>
      </c>
      <c r="F31" s="27"/>
    </row>
    <row r="32" spans="1:6">
      <c r="A32" s="27"/>
      <c r="B32" s="28" t="s">
        <v>112</v>
      </c>
      <c r="C32" s="34">
        <v>45</v>
      </c>
      <c r="D32" s="34">
        <v>45</v>
      </c>
      <c r="E32" s="34">
        <v>45</v>
      </c>
      <c r="F32" s="27"/>
    </row>
    <row r="33" spans="1:6">
      <c r="A33" s="27"/>
      <c r="B33" s="28" t="s">
        <v>113</v>
      </c>
      <c r="C33" s="34">
        <v>46</v>
      </c>
      <c r="D33" s="34">
        <v>46</v>
      </c>
      <c r="E33" s="34">
        <v>46</v>
      </c>
      <c r="F33" s="27"/>
    </row>
    <row r="34" spans="1:6">
      <c r="A34" s="27"/>
      <c r="B34" s="28" t="s">
        <v>114</v>
      </c>
      <c r="C34" s="34">
        <v>47</v>
      </c>
      <c r="D34" s="34">
        <v>47</v>
      </c>
      <c r="E34" s="34">
        <v>47</v>
      </c>
      <c r="F34" s="27"/>
    </row>
    <row r="35" spans="1:6">
      <c r="A35" s="27"/>
      <c r="B35" s="28" t="s">
        <v>115</v>
      </c>
      <c r="C35" s="34">
        <v>49</v>
      </c>
      <c r="D35" s="34">
        <v>49</v>
      </c>
      <c r="E35" s="34">
        <v>49</v>
      </c>
      <c r="F35" s="27"/>
    </row>
    <row r="36" spans="1:6">
      <c r="A36" s="27"/>
      <c r="B36" s="28" t="s">
        <v>116</v>
      </c>
      <c r="C36" s="34" t="s">
        <v>37</v>
      </c>
      <c r="D36" s="34" t="s">
        <v>37</v>
      </c>
      <c r="E36" s="34" t="s">
        <v>37</v>
      </c>
      <c r="F36" s="27"/>
    </row>
    <row r="37" spans="1:6">
      <c r="A37" s="27"/>
      <c r="B37" s="28" t="s">
        <v>117</v>
      </c>
      <c r="C37" s="34">
        <v>52</v>
      </c>
      <c r="D37" s="34">
        <v>52</v>
      </c>
      <c r="E37" s="34">
        <v>52</v>
      </c>
      <c r="F37" s="27"/>
    </row>
    <row r="38" spans="1:6">
      <c r="A38" s="29" t="s">
        <v>84</v>
      </c>
      <c r="B38" s="28" t="s">
        <v>127</v>
      </c>
      <c r="C38" s="34">
        <v>53</v>
      </c>
      <c r="D38" s="34">
        <v>53</v>
      </c>
      <c r="E38" s="34">
        <v>53</v>
      </c>
      <c r="F38" s="27"/>
    </row>
    <row r="39" spans="1:6">
      <c r="A39" s="27"/>
      <c r="B39" s="28" t="s">
        <v>128</v>
      </c>
      <c r="C39" s="34">
        <v>55</v>
      </c>
      <c r="D39" s="34">
        <v>55</v>
      </c>
      <c r="E39" s="34">
        <v>55</v>
      </c>
      <c r="F39" s="27"/>
    </row>
    <row r="40" spans="1:6">
      <c r="A40" s="27"/>
      <c r="B40" s="28" t="s">
        <v>129</v>
      </c>
      <c r="C40" s="34">
        <v>56</v>
      </c>
      <c r="D40" s="34">
        <v>56</v>
      </c>
      <c r="E40" s="34">
        <v>56</v>
      </c>
      <c r="F40" s="27"/>
    </row>
    <row r="41" spans="1:6">
      <c r="A41" s="27"/>
      <c r="B41" s="28" t="s">
        <v>130</v>
      </c>
      <c r="C41" s="34" t="s">
        <v>43</v>
      </c>
      <c r="D41" s="34" t="s">
        <v>325</v>
      </c>
      <c r="E41" s="34" t="s">
        <v>337</v>
      </c>
      <c r="F41" s="27"/>
    </row>
    <row r="42" spans="1:6">
      <c r="A42" s="27"/>
      <c r="B42" s="28" t="s">
        <v>131</v>
      </c>
      <c r="C42" s="34">
        <v>61</v>
      </c>
      <c r="D42" s="34">
        <v>61</v>
      </c>
      <c r="E42" s="34">
        <v>61</v>
      </c>
      <c r="F42" s="27"/>
    </row>
    <row r="43" spans="1:6">
      <c r="A43" s="27"/>
      <c r="B43" s="28" t="s">
        <v>132</v>
      </c>
      <c r="C43" s="34" t="s">
        <v>46</v>
      </c>
      <c r="D43" s="34" t="s">
        <v>46</v>
      </c>
      <c r="E43" s="34" t="s">
        <v>46</v>
      </c>
      <c r="F43" s="27"/>
    </row>
    <row r="44" spans="1:6">
      <c r="A44" s="27"/>
      <c r="B44" s="28" t="s">
        <v>133</v>
      </c>
      <c r="C44" s="34">
        <v>64</v>
      </c>
      <c r="D44" s="34">
        <v>64</v>
      </c>
      <c r="E44" s="34">
        <v>64</v>
      </c>
      <c r="F44" s="27"/>
    </row>
    <row r="45" spans="1:6">
      <c r="A45" s="27"/>
      <c r="B45" s="28" t="s">
        <v>134</v>
      </c>
      <c r="C45" s="34">
        <v>65</v>
      </c>
      <c r="D45" s="34">
        <v>65</v>
      </c>
      <c r="E45" s="34">
        <v>65</v>
      </c>
      <c r="F45" s="27"/>
    </row>
    <row r="46" spans="1:6">
      <c r="A46" s="27"/>
      <c r="B46" s="28" t="s">
        <v>135</v>
      </c>
      <c r="C46" s="34">
        <v>66</v>
      </c>
      <c r="D46" s="34">
        <v>66</v>
      </c>
      <c r="E46" s="34">
        <v>66</v>
      </c>
      <c r="F46" s="27"/>
    </row>
    <row r="47" spans="1:6">
      <c r="A47" s="27"/>
      <c r="B47" s="28" t="s">
        <v>136</v>
      </c>
      <c r="C47" s="34">
        <v>68</v>
      </c>
      <c r="D47" s="34">
        <v>68</v>
      </c>
      <c r="E47" s="34">
        <v>68</v>
      </c>
      <c r="F47" s="27"/>
    </row>
    <row r="48" spans="1:6">
      <c r="A48" s="27"/>
      <c r="B48" s="28" t="s">
        <v>137</v>
      </c>
      <c r="C48" s="34">
        <v>69</v>
      </c>
      <c r="D48" s="34">
        <v>69</v>
      </c>
      <c r="E48" s="34">
        <v>69</v>
      </c>
      <c r="F48" s="27"/>
    </row>
    <row r="49" spans="1:6">
      <c r="A49" s="27"/>
      <c r="B49" s="28" t="s">
        <v>138</v>
      </c>
      <c r="C49" s="34">
        <v>70</v>
      </c>
      <c r="D49" s="34">
        <v>70</v>
      </c>
      <c r="E49" s="34">
        <v>70</v>
      </c>
      <c r="F49" s="27"/>
    </row>
    <row r="50" spans="1:6">
      <c r="A50" s="27"/>
      <c r="B50" s="28" t="s">
        <v>139</v>
      </c>
      <c r="C50" s="34">
        <v>71</v>
      </c>
      <c r="D50" s="34">
        <v>71</v>
      </c>
      <c r="E50" s="34">
        <v>71</v>
      </c>
      <c r="F50" s="27"/>
    </row>
    <row r="51" spans="1:6">
      <c r="A51" s="27"/>
      <c r="B51" s="28" t="s">
        <v>140</v>
      </c>
      <c r="C51" s="34">
        <v>72</v>
      </c>
      <c r="D51" s="34">
        <v>72</v>
      </c>
      <c r="E51" s="34">
        <v>72</v>
      </c>
      <c r="F51" s="27"/>
    </row>
    <row r="52" spans="1:6">
      <c r="A52" s="27"/>
      <c r="B52" s="28" t="s">
        <v>141</v>
      </c>
      <c r="C52" s="34" t="s">
        <v>56</v>
      </c>
      <c r="D52" s="34" t="s">
        <v>327</v>
      </c>
      <c r="E52" s="34" t="s">
        <v>338</v>
      </c>
      <c r="F52" s="27"/>
    </row>
    <row r="53" spans="1:6">
      <c r="A53" s="27"/>
      <c r="B53" s="28" t="s">
        <v>142</v>
      </c>
      <c r="C53" s="34" t="s">
        <v>58</v>
      </c>
      <c r="D53" s="34" t="s">
        <v>328</v>
      </c>
      <c r="E53" s="34" t="s">
        <v>339</v>
      </c>
      <c r="F53" s="27"/>
    </row>
    <row r="54" spans="1:6">
      <c r="A54" s="27"/>
      <c r="B54" s="28" t="s">
        <v>143</v>
      </c>
      <c r="C54" s="34">
        <v>78</v>
      </c>
      <c r="D54" s="34">
        <v>78</v>
      </c>
      <c r="E54" s="34">
        <v>78</v>
      </c>
      <c r="F54" s="27"/>
    </row>
    <row r="55" spans="1:6">
      <c r="A55" s="27"/>
      <c r="B55" s="28" t="s">
        <v>144</v>
      </c>
      <c r="C55" s="34">
        <v>84</v>
      </c>
      <c r="D55" s="34">
        <v>84</v>
      </c>
      <c r="E55" s="34">
        <v>84</v>
      </c>
      <c r="F55" s="27"/>
    </row>
    <row r="56" spans="1:6">
      <c r="A56" s="27"/>
      <c r="B56" s="28" t="s">
        <v>145</v>
      </c>
      <c r="C56" s="34">
        <v>85</v>
      </c>
      <c r="D56" s="34">
        <v>85</v>
      </c>
      <c r="E56" s="34">
        <v>85</v>
      </c>
      <c r="F56" s="27"/>
    </row>
    <row r="57" spans="1:6">
      <c r="A57" s="27"/>
      <c r="B57" s="28" t="s">
        <v>146</v>
      </c>
      <c r="C57" s="34">
        <v>86</v>
      </c>
      <c r="D57" s="34">
        <v>86</v>
      </c>
      <c r="E57" s="34">
        <v>86</v>
      </c>
      <c r="F57" s="27"/>
    </row>
    <row r="58" spans="1:6">
      <c r="A58" s="27"/>
      <c r="B58" s="28" t="s">
        <v>147</v>
      </c>
      <c r="C58" s="34">
        <v>87</v>
      </c>
      <c r="D58" s="34">
        <v>87</v>
      </c>
      <c r="E58" s="34">
        <v>87</v>
      </c>
      <c r="F58" s="27"/>
    </row>
    <row r="59" spans="1:6">
      <c r="A59" s="27"/>
      <c r="B59" s="28" t="s">
        <v>148</v>
      </c>
      <c r="C59" s="34">
        <v>88</v>
      </c>
      <c r="D59" s="34">
        <v>88</v>
      </c>
      <c r="E59" s="34">
        <v>88</v>
      </c>
      <c r="F59" s="27"/>
    </row>
    <row r="60" spans="1:6">
      <c r="A60" s="27"/>
      <c r="B60" s="28" t="s">
        <v>149</v>
      </c>
      <c r="C60" s="34" t="s">
        <v>66</v>
      </c>
      <c r="D60" s="34" t="s">
        <v>329</v>
      </c>
      <c r="E60" s="34" t="s">
        <v>340</v>
      </c>
      <c r="F60" s="27"/>
    </row>
    <row r="61" spans="1:6">
      <c r="A61" s="27"/>
      <c r="B61" s="28" t="s">
        <v>150</v>
      </c>
      <c r="C61" s="34" t="s">
        <v>68</v>
      </c>
      <c r="D61" s="34" t="s">
        <v>330</v>
      </c>
      <c r="E61" s="34" t="s">
        <v>341</v>
      </c>
      <c r="F61" s="27"/>
    </row>
    <row r="62" spans="1:6">
      <c r="A62" s="27"/>
      <c r="B62" s="28" t="s">
        <v>151</v>
      </c>
      <c r="C62" s="34" t="s">
        <v>70</v>
      </c>
      <c r="D62" s="28" t="s">
        <v>315</v>
      </c>
      <c r="E62" s="34" t="s">
        <v>261</v>
      </c>
      <c r="F62" s="27"/>
    </row>
    <row r="63" spans="1:6">
      <c r="A63" s="27"/>
      <c r="B63" s="28" t="s">
        <v>152</v>
      </c>
      <c r="C63" s="34" t="s">
        <v>71</v>
      </c>
      <c r="D63" s="28" t="s">
        <v>71</v>
      </c>
      <c r="E63" s="34" t="s">
        <v>258</v>
      </c>
      <c r="F63" s="27"/>
    </row>
    <row r="64" spans="1:6">
      <c r="A64" s="27"/>
      <c r="B64" s="28" t="s">
        <v>153</v>
      </c>
      <c r="C64" s="34"/>
      <c r="D64" s="34"/>
      <c r="E64" s="34"/>
      <c r="F64" s="27"/>
    </row>
    <row r="65" spans="1:6">
      <c r="A65" s="29"/>
      <c r="B65" s="27"/>
      <c r="C65" s="36"/>
      <c r="D65" s="36"/>
      <c r="E65" s="36"/>
      <c r="F65" s="27"/>
    </row>
    <row r="66" spans="1:6">
      <c r="A66" s="29" t="s">
        <v>84</v>
      </c>
      <c r="B66" s="28" t="s">
        <v>156</v>
      </c>
      <c r="C66" s="34" t="s">
        <v>263</v>
      </c>
      <c r="D66" s="28" t="s">
        <v>289</v>
      </c>
      <c r="E66" s="28" t="s">
        <v>262</v>
      </c>
      <c r="F66" s="27"/>
    </row>
    <row r="67" spans="1:6">
      <c r="A67" s="27"/>
      <c r="B67" s="28" t="s">
        <v>157</v>
      </c>
      <c r="C67" s="34" t="s">
        <v>2</v>
      </c>
      <c r="D67" s="28" t="s">
        <v>264</v>
      </c>
      <c r="E67" s="34" t="s">
        <v>210</v>
      </c>
      <c r="F67" s="27"/>
    </row>
    <row r="68" spans="1:6">
      <c r="A68" s="27"/>
      <c r="B68" s="28" t="s">
        <v>158</v>
      </c>
      <c r="C68" s="34" t="s">
        <v>3</v>
      </c>
      <c r="D68" s="28" t="s">
        <v>290</v>
      </c>
      <c r="E68" s="34" t="s">
        <v>259</v>
      </c>
      <c r="F68" s="27"/>
    </row>
    <row r="69" spans="1:6" ht="25.5">
      <c r="A69" s="27"/>
      <c r="B69" s="28" t="s">
        <v>159</v>
      </c>
      <c r="C69" s="34" t="s">
        <v>5</v>
      </c>
      <c r="D69" s="28" t="s">
        <v>265</v>
      </c>
      <c r="E69" s="34" t="s">
        <v>211</v>
      </c>
      <c r="F69" s="27"/>
    </row>
    <row r="70" spans="1:6" ht="25.5">
      <c r="A70" s="27"/>
      <c r="B70" s="28" t="s">
        <v>160</v>
      </c>
      <c r="C70" s="34" t="s">
        <v>7</v>
      </c>
      <c r="D70" s="28" t="s">
        <v>266</v>
      </c>
      <c r="E70" s="34" t="s">
        <v>212</v>
      </c>
      <c r="F70" s="27"/>
    </row>
    <row r="71" spans="1:6" ht="25.5">
      <c r="A71" s="27"/>
      <c r="B71" s="28" t="s">
        <v>161</v>
      </c>
      <c r="C71" s="34" t="s">
        <v>9</v>
      </c>
      <c r="D71" s="28" t="s">
        <v>291</v>
      </c>
      <c r="E71" s="34" t="s">
        <v>213</v>
      </c>
      <c r="F71" s="27"/>
    </row>
    <row r="72" spans="1:6" ht="25.5">
      <c r="A72" s="27"/>
      <c r="B72" s="28" t="s">
        <v>162</v>
      </c>
      <c r="C72" s="34" t="s">
        <v>11</v>
      </c>
      <c r="D72" s="28" t="s">
        <v>292</v>
      </c>
      <c r="E72" s="34" t="s">
        <v>214</v>
      </c>
      <c r="F72" s="27"/>
    </row>
    <row r="73" spans="1:6" ht="25.5">
      <c r="A73" s="27"/>
      <c r="B73" s="28" t="s">
        <v>163</v>
      </c>
      <c r="C73" s="34" t="s">
        <v>13</v>
      </c>
      <c r="D73" s="28" t="s">
        <v>293</v>
      </c>
      <c r="E73" s="34" t="s">
        <v>215</v>
      </c>
      <c r="F73" s="27"/>
    </row>
    <row r="74" spans="1:6">
      <c r="A74" s="27"/>
      <c r="B74" s="28" t="s">
        <v>164</v>
      </c>
      <c r="C74" s="34" t="s">
        <v>14</v>
      </c>
      <c r="D74" s="28" t="s">
        <v>294</v>
      </c>
      <c r="E74" s="34" t="s">
        <v>216</v>
      </c>
      <c r="F74" s="27"/>
    </row>
    <row r="75" spans="1:6" ht="38.25">
      <c r="A75" s="27"/>
      <c r="B75" s="28" t="s">
        <v>165</v>
      </c>
      <c r="C75" s="34" t="s">
        <v>16</v>
      </c>
      <c r="D75" s="28" t="s">
        <v>295</v>
      </c>
      <c r="E75" s="34" t="s">
        <v>217</v>
      </c>
      <c r="F75" s="27"/>
    </row>
    <row r="76" spans="1:6" ht="25.5">
      <c r="A76" s="27"/>
      <c r="B76" s="28" t="s">
        <v>166</v>
      </c>
      <c r="C76" s="34" t="s">
        <v>18</v>
      </c>
      <c r="D76" s="28" t="s">
        <v>267</v>
      </c>
      <c r="E76" s="34" t="s">
        <v>218</v>
      </c>
      <c r="F76" s="27"/>
    </row>
    <row r="77" spans="1:6" ht="25.5">
      <c r="A77" s="27"/>
      <c r="B77" s="28" t="s">
        <v>167</v>
      </c>
      <c r="C77" s="34" t="s">
        <v>19</v>
      </c>
      <c r="D77" s="28" t="s">
        <v>268</v>
      </c>
      <c r="E77" s="34" t="s">
        <v>219</v>
      </c>
      <c r="F77" s="27"/>
    </row>
    <row r="78" spans="1:6">
      <c r="A78" s="27"/>
      <c r="B78" s="28" t="s">
        <v>168</v>
      </c>
      <c r="C78" s="34" t="s">
        <v>20</v>
      </c>
      <c r="D78" s="28" t="s">
        <v>296</v>
      </c>
      <c r="E78" s="34" t="s">
        <v>220</v>
      </c>
      <c r="F78" s="27"/>
    </row>
    <row r="79" spans="1:6">
      <c r="A79" s="27"/>
      <c r="B79" s="28" t="s">
        <v>169</v>
      </c>
      <c r="C79" s="34" t="s">
        <v>21</v>
      </c>
      <c r="D79" s="28" t="s">
        <v>297</v>
      </c>
      <c r="E79" s="34" t="s">
        <v>221</v>
      </c>
      <c r="F79" s="27"/>
    </row>
    <row r="80" spans="1:6">
      <c r="A80" s="27"/>
      <c r="B80" s="28" t="s">
        <v>170</v>
      </c>
      <c r="C80" s="34" t="s">
        <v>23</v>
      </c>
      <c r="D80" s="28" t="s">
        <v>298</v>
      </c>
      <c r="E80" s="34" t="s">
        <v>222</v>
      </c>
      <c r="F80" s="27"/>
    </row>
    <row r="81" spans="1:6" ht="25.5">
      <c r="A81" s="27"/>
      <c r="B81" s="28" t="s">
        <v>171</v>
      </c>
      <c r="C81" s="34" t="s">
        <v>25</v>
      </c>
      <c r="D81" s="28" t="s">
        <v>269</v>
      </c>
      <c r="E81" s="34" t="s">
        <v>223</v>
      </c>
      <c r="F81" s="27"/>
    </row>
    <row r="82" spans="1:6">
      <c r="A82" s="27"/>
      <c r="B82" s="28" t="s">
        <v>172</v>
      </c>
      <c r="C82" s="34" t="s">
        <v>26</v>
      </c>
      <c r="D82" s="28" t="s">
        <v>299</v>
      </c>
      <c r="E82" s="34" t="s">
        <v>224</v>
      </c>
      <c r="F82" s="27"/>
    </row>
    <row r="83" spans="1:6" ht="38.25">
      <c r="A83" s="27"/>
      <c r="B83" s="28" t="s">
        <v>173</v>
      </c>
      <c r="C83" s="34" t="s">
        <v>28</v>
      </c>
      <c r="D83" s="28" t="s">
        <v>300</v>
      </c>
      <c r="E83" s="34" t="s">
        <v>225</v>
      </c>
      <c r="F83" s="27"/>
    </row>
    <row r="84" spans="1:6">
      <c r="A84" s="27"/>
      <c r="B84" s="28" t="s">
        <v>174</v>
      </c>
      <c r="C84" s="34" t="s">
        <v>30</v>
      </c>
      <c r="D84" s="28" t="s">
        <v>301</v>
      </c>
      <c r="E84" s="34" t="s">
        <v>226</v>
      </c>
      <c r="F84" s="27"/>
    </row>
    <row r="85" spans="1:6" ht="25.5">
      <c r="A85" s="27"/>
      <c r="B85" s="28" t="s">
        <v>175</v>
      </c>
      <c r="C85" s="34" t="s">
        <v>31</v>
      </c>
      <c r="D85" s="28" t="s">
        <v>270</v>
      </c>
      <c r="E85" s="34" t="s">
        <v>227</v>
      </c>
      <c r="F85" s="27"/>
    </row>
    <row r="86" spans="1:6">
      <c r="A86" s="27"/>
      <c r="B86" s="28" t="s">
        <v>176</v>
      </c>
      <c r="C86" s="34" t="s">
        <v>32</v>
      </c>
      <c r="D86" s="28" t="s">
        <v>302</v>
      </c>
      <c r="E86" s="34" t="s">
        <v>257</v>
      </c>
      <c r="F86" s="27"/>
    </row>
    <row r="87" spans="1:6" ht="25.5">
      <c r="A87" s="27"/>
      <c r="B87" s="28" t="s">
        <v>177</v>
      </c>
      <c r="C87" s="34" t="s">
        <v>33</v>
      </c>
      <c r="D87" s="28" t="s">
        <v>271</v>
      </c>
      <c r="E87" s="34" t="s">
        <v>228</v>
      </c>
      <c r="F87" s="27"/>
    </row>
    <row r="88" spans="1:6" ht="25.5">
      <c r="A88" s="27"/>
      <c r="B88" s="28" t="s">
        <v>178</v>
      </c>
      <c r="C88" s="34" t="s">
        <v>34</v>
      </c>
      <c r="D88" s="28" t="s">
        <v>272</v>
      </c>
      <c r="E88" s="34" t="s">
        <v>229</v>
      </c>
      <c r="F88" s="27"/>
    </row>
    <row r="89" spans="1:6" ht="25.5">
      <c r="A89" s="27"/>
      <c r="B89" s="28" t="s">
        <v>179</v>
      </c>
      <c r="C89" s="34" t="s">
        <v>35</v>
      </c>
      <c r="D89" s="28" t="s">
        <v>273</v>
      </c>
      <c r="E89" s="34" t="s">
        <v>230</v>
      </c>
      <c r="F89" s="27"/>
    </row>
    <row r="90" spans="1:6">
      <c r="A90" s="27"/>
      <c r="B90" s="28" t="s">
        <v>180</v>
      </c>
      <c r="C90" s="34" t="s">
        <v>36</v>
      </c>
      <c r="D90" s="28" t="s">
        <v>274</v>
      </c>
      <c r="E90" s="34" t="s">
        <v>231</v>
      </c>
      <c r="F90" s="27"/>
    </row>
    <row r="91" spans="1:6">
      <c r="A91" s="27"/>
      <c r="B91" s="28" t="s">
        <v>181</v>
      </c>
      <c r="C91" s="34" t="s">
        <v>38</v>
      </c>
      <c r="D91" s="28" t="s">
        <v>303</v>
      </c>
      <c r="E91" s="34" t="s">
        <v>232</v>
      </c>
      <c r="F91" s="27"/>
    </row>
    <row r="92" spans="1:6" ht="25.5">
      <c r="A92" s="27"/>
      <c r="B92" s="28" t="s">
        <v>182</v>
      </c>
      <c r="C92" s="34" t="s">
        <v>39</v>
      </c>
      <c r="D92" s="28" t="s">
        <v>275</v>
      </c>
      <c r="E92" s="34" t="s">
        <v>233</v>
      </c>
      <c r="F92" s="27"/>
    </row>
    <row r="93" spans="1:6">
      <c r="A93" s="29" t="s">
        <v>84</v>
      </c>
      <c r="B93" s="28" t="s">
        <v>183</v>
      </c>
      <c r="C93" s="34" t="s">
        <v>40</v>
      </c>
      <c r="D93" s="28" t="s">
        <v>304</v>
      </c>
      <c r="E93" s="34" t="s">
        <v>234</v>
      </c>
      <c r="F93" s="27"/>
    </row>
    <row r="94" spans="1:6">
      <c r="A94" s="27"/>
      <c r="B94" s="28" t="s">
        <v>184</v>
      </c>
      <c r="C94" s="34" t="s">
        <v>41</v>
      </c>
      <c r="D94" s="28" t="s">
        <v>305</v>
      </c>
      <c r="E94" s="34" t="s">
        <v>235</v>
      </c>
      <c r="F94" s="27"/>
    </row>
    <row r="95" spans="1:6">
      <c r="A95" s="27"/>
      <c r="B95" s="28" t="s">
        <v>185</v>
      </c>
      <c r="C95" s="34" t="s">
        <v>42</v>
      </c>
      <c r="D95" s="28" t="s">
        <v>306</v>
      </c>
      <c r="E95" s="34" t="s">
        <v>236</v>
      </c>
      <c r="F95" s="27"/>
    </row>
    <row r="96" spans="1:6">
      <c r="A96" s="27"/>
      <c r="B96" s="28" t="s">
        <v>186</v>
      </c>
      <c r="C96" s="34" t="s">
        <v>44</v>
      </c>
      <c r="D96" s="28" t="s">
        <v>276</v>
      </c>
      <c r="E96" s="34" t="s">
        <v>237</v>
      </c>
      <c r="F96" s="27"/>
    </row>
    <row r="97" spans="1:6">
      <c r="A97" s="27"/>
      <c r="B97" s="28" t="s">
        <v>187</v>
      </c>
      <c r="C97" s="34" t="s">
        <v>45</v>
      </c>
      <c r="D97" s="28" t="s">
        <v>307</v>
      </c>
      <c r="E97" s="34" t="s">
        <v>238</v>
      </c>
      <c r="F97" s="27"/>
    </row>
    <row r="98" spans="1:6" ht="25.5">
      <c r="A98" s="27"/>
      <c r="B98" s="28" t="s">
        <v>188</v>
      </c>
      <c r="C98" s="34" t="s">
        <v>47</v>
      </c>
      <c r="D98" s="28" t="s">
        <v>277</v>
      </c>
      <c r="E98" s="34" t="s">
        <v>239</v>
      </c>
      <c r="F98" s="27"/>
    </row>
    <row r="99" spans="1:6">
      <c r="A99" s="27"/>
      <c r="B99" s="28" t="s">
        <v>189</v>
      </c>
      <c r="C99" s="34" t="s">
        <v>48</v>
      </c>
      <c r="D99" s="28" t="s">
        <v>308</v>
      </c>
      <c r="E99" s="34" t="s">
        <v>240</v>
      </c>
      <c r="F99" s="27"/>
    </row>
    <row r="100" spans="1:6" ht="25.5">
      <c r="A100" s="27"/>
      <c r="B100" s="28" t="s">
        <v>190</v>
      </c>
      <c r="C100" s="34" t="s">
        <v>49</v>
      </c>
      <c r="D100" s="28" t="s">
        <v>278</v>
      </c>
      <c r="E100" s="34" t="s">
        <v>241</v>
      </c>
      <c r="F100" s="27"/>
    </row>
    <row r="101" spans="1:6" ht="25.5">
      <c r="A101" s="27"/>
      <c r="B101" s="28" t="s">
        <v>191</v>
      </c>
      <c r="C101" s="34" t="s">
        <v>50</v>
      </c>
      <c r="D101" s="28" t="s">
        <v>279</v>
      </c>
      <c r="E101" s="34" t="s">
        <v>242</v>
      </c>
      <c r="F101" s="27"/>
    </row>
    <row r="102" spans="1:6">
      <c r="A102" s="27"/>
      <c r="B102" s="28" t="s">
        <v>192</v>
      </c>
      <c r="C102" s="34" t="s">
        <v>51</v>
      </c>
      <c r="D102" s="28" t="s">
        <v>309</v>
      </c>
      <c r="E102" s="34" t="s">
        <v>243</v>
      </c>
      <c r="F102" s="27"/>
    </row>
    <row r="103" spans="1:6" ht="25.5">
      <c r="A103" s="27"/>
      <c r="B103" s="28" t="s">
        <v>193</v>
      </c>
      <c r="C103" s="34" t="s">
        <v>52</v>
      </c>
      <c r="D103" s="28" t="s">
        <v>280</v>
      </c>
      <c r="E103" s="34" t="s">
        <v>244</v>
      </c>
      <c r="F103" s="27"/>
    </row>
    <row r="104" spans="1:6" ht="25.5">
      <c r="A104" s="27"/>
      <c r="B104" s="28" t="s">
        <v>194</v>
      </c>
      <c r="C104" s="34" t="s">
        <v>53</v>
      </c>
      <c r="D104" s="28" t="s">
        <v>310</v>
      </c>
      <c r="E104" s="34" t="s">
        <v>245</v>
      </c>
      <c r="F104" s="27"/>
    </row>
    <row r="105" spans="1:6" ht="25.5">
      <c r="A105" s="27"/>
      <c r="B105" s="28" t="s">
        <v>195</v>
      </c>
      <c r="C105" s="34" t="s">
        <v>54</v>
      </c>
      <c r="D105" s="28" t="s">
        <v>281</v>
      </c>
      <c r="E105" s="34" t="s">
        <v>246</v>
      </c>
      <c r="F105" s="27"/>
    </row>
    <row r="106" spans="1:6">
      <c r="A106" s="27"/>
      <c r="B106" s="28" t="s">
        <v>196</v>
      </c>
      <c r="C106" s="34" t="s">
        <v>55</v>
      </c>
      <c r="D106" s="28" t="s">
        <v>282</v>
      </c>
      <c r="E106" s="34" t="s">
        <v>247</v>
      </c>
      <c r="F106" s="27"/>
    </row>
    <row r="107" spans="1:6" ht="25.5">
      <c r="A107" s="27"/>
      <c r="B107" s="28" t="s">
        <v>197</v>
      </c>
      <c r="C107" s="34" t="s">
        <v>57</v>
      </c>
      <c r="D107" s="28" t="s">
        <v>283</v>
      </c>
      <c r="E107" s="34" t="s">
        <v>248</v>
      </c>
      <c r="F107" s="27"/>
    </row>
    <row r="108" spans="1:6" ht="25.5">
      <c r="A108" s="27"/>
      <c r="B108" s="28" t="s">
        <v>198</v>
      </c>
      <c r="C108" s="34" t="s">
        <v>59</v>
      </c>
      <c r="D108" s="28" t="s">
        <v>311</v>
      </c>
      <c r="E108" s="34" t="s">
        <v>249</v>
      </c>
      <c r="F108" s="27"/>
    </row>
    <row r="109" spans="1:6">
      <c r="A109" s="27"/>
      <c r="B109" s="28" t="s">
        <v>199</v>
      </c>
      <c r="C109" s="34" t="s">
        <v>60</v>
      </c>
      <c r="D109" s="28" t="s">
        <v>284</v>
      </c>
      <c r="E109" s="34" t="s">
        <v>250</v>
      </c>
      <c r="F109" s="27"/>
    </row>
    <row r="110" spans="1:6" ht="25.5">
      <c r="A110" s="27"/>
      <c r="B110" s="28" t="s">
        <v>200</v>
      </c>
      <c r="C110" s="34" t="s">
        <v>61</v>
      </c>
      <c r="D110" s="28" t="s">
        <v>285</v>
      </c>
      <c r="E110" s="28" t="s">
        <v>260</v>
      </c>
      <c r="F110" s="27"/>
    </row>
    <row r="111" spans="1:6">
      <c r="A111" s="27"/>
      <c r="B111" s="28" t="s">
        <v>201</v>
      </c>
      <c r="C111" s="34" t="s">
        <v>62</v>
      </c>
      <c r="D111" s="28" t="s">
        <v>286</v>
      </c>
      <c r="E111" s="34" t="s">
        <v>251</v>
      </c>
      <c r="F111" s="27"/>
    </row>
    <row r="112" spans="1:6">
      <c r="A112" s="27"/>
      <c r="B112" s="28" t="s">
        <v>202</v>
      </c>
      <c r="C112" s="34" t="s">
        <v>63</v>
      </c>
      <c r="D112" s="28" t="s">
        <v>312</v>
      </c>
      <c r="E112" s="34" t="s">
        <v>252</v>
      </c>
      <c r="F112" s="27"/>
    </row>
    <row r="113" spans="1:6" ht="25.5">
      <c r="A113" s="27"/>
      <c r="B113" s="28" t="s">
        <v>203</v>
      </c>
      <c r="C113" s="34" t="s">
        <v>64</v>
      </c>
      <c r="D113" s="28" t="s">
        <v>313</v>
      </c>
      <c r="E113" s="34" t="s">
        <v>253</v>
      </c>
      <c r="F113" s="27"/>
    </row>
    <row r="114" spans="1:6" ht="25.5">
      <c r="A114" s="27"/>
      <c r="B114" s="28" t="s">
        <v>204</v>
      </c>
      <c r="C114" s="34" t="s">
        <v>65</v>
      </c>
      <c r="D114" s="28" t="s">
        <v>287</v>
      </c>
      <c r="E114" s="34" t="s">
        <v>254</v>
      </c>
      <c r="F114" s="27"/>
    </row>
    <row r="115" spans="1:6">
      <c r="A115" s="27"/>
      <c r="B115" s="28" t="s">
        <v>205</v>
      </c>
      <c r="C115" s="34" t="s">
        <v>67</v>
      </c>
      <c r="D115" s="28" t="s">
        <v>288</v>
      </c>
      <c r="E115" s="34" t="s">
        <v>255</v>
      </c>
      <c r="F115" s="27"/>
    </row>
    <row r="116" spans="1:6">
      <c r="A116" s="27"/>
      <c r="B116" s="28" t="s">
        <v>206</v>
      </c>
      <c r="C116" s="34" t="s">
        <v>69</v>
      </c>
      <c r="D116" s="28" t="s">
        <v>314</v>
      </c>
      <c r="E116" s="34" t="s">
        <v>256</v>
      </c>
      <c r="F116" s="27"/>
    </row>
    <row r="117" spans="1:6">
      <c r="A117" s="27"/>
      <c r="B117" s="28" t="s">
        <v>207</v>
      </c>
      <c r="C117" s="34" t="s">
        <v>70</v>
      </c>
      <c r="D117" s="28" t="s">
        <v>315</v>
      </c>
      <c r="E117" s="34" t="s">
        <v>261</v>
      </c>
      <c r="F117" s="27"/>
    </row>
    <row r="118" spans="1:6">
      <c r="A118" s="27"/>
      <c r="B118" s="28" t="s">
        <v>208</v>
      </c>
      <c r="C118" s="34" t="s">
        <v>71</v>
      </c>
      <c r="D118" s="28" t="s">
        <v>71</v>
      </c>
      <c r="E118" s="34" t="s">
        <v>258</v>
      </c>
      <c r="F118" s="27"/>
    </row>
    <row r="119" spans="1:6">
      <c r="A119" s="27"/>
      <c r="B119" s="28" t="s">
        <v>209</v>
      </c>
      <c r="C119" s="34"/>
      <c r="D119" s="34"/>
      <c r="E119" s="34"/>
      <c r="F119" s="27"/>
    </row>
    <row r="120" spans="1:6">
      <c r="A120" s="27"/>
      <c r="B120" s="27"/>
      <c r="C120" s="36"/>
      <c r="D120" s="36"/>
      <c r="E120" s="36"/>
      <c r="F120" s="27"/>
    </row>
    <row r="121" spans="1:6" ht="14.25" customHeight="1">
      <c r="A121" s="29"/>
      <c r="B121" s="28" t="s">
        <v>118</v>
      </c>
      <c r="C121" s="34" t="s">
        <v>347</v>
      </c>
      <c r="D121" s="34" t="s">
        <v>351</v>
      </c>
      <c r="E121" s="34" t="s">
        <v>349</v>
      </c>
      <c r="F121" s="27"/>
    </row>
    <row r="122" spans="1:6" ht="38.25">
      <c r="A122" s="27"/>
      <c r="B122" s="28" t="s">
        <v>119</v>
      </c>
      <c r="C122" s="34" t="s">
        <v>348</v>
      </c>
      <c r="D122" s="34" t="s">
        <v>352</v>
      </c>
      <c r="E122" s="34" t="s">
        <v>350</v>
      </c>
      <c r="F122" s="27"/>
    </row>
    <row r="123" spans="1:6">
      <c r="A123" s="27"/>
      <c r="B123" s="28" t="s">
        <v>120</v>
      </c>
      <c r="C123" s="34"/>
      <c r="D123" s="34"/>
      <c r="E123" s="34"/>
      <c r="F123" s="27"/>
    </row>
    <row r="124" spans="1:6">
      <c r="A124" s="27"/>
      <c r="B124" s="28" t="s">
        <v>121</v>
      </c>
      <c r="C124" s="34"/>
      <c r="D124" s="34"/>
      <c r="E124" s="34"/>
      <c r="F124" s="27"/>
    </row>
    <row r="125" spans="1:6">
      <c r="A125" s="27"/>
      <c r="B125" s="27"/>
      <c r="C125" s="36"/>
      <c r="D125" s="36"/>
      <c r="E125" s="36"/>
      <c r="F125" s="27"/>
    </row>
    <row r="126" spans="1:6">
      <c r="A126" s="27" t="s">
        <v>87</v>
      </c>
      <c r="B126" s="28" t="s">
        <v>122</v>
      </c>
      <c r="C126" s="34" t="s">
        <v>72</v>
      </c>
      <c r="D126" s="34" t="s">
        <v>154</v>
      </c>
      <c r="E126" s="34" t="s">
        <v>155</v>
      </c>
      <c r="F126" s="27"/>
    </row>
    <row r="127" spans="1:6">
      <c r="A127" s="27" t="s">
        <v>84</v>
      </c>
      <c r="B127" s="37" t="s">
        <v>123</v>
      </c>
      <c r="C127" s="38" t="s">
        <v>363</v>
      </c>
      <c r="D127" s="38" t="s">
        <v>364</v>
      </c>
      <c r="E127" s="38" t="s">
        <v>365</v>
      </c>
      <c r="F127" s="27"/>
    </row>
    <row r="128" spans="1:6">
      <c r="A128" s="27"/>
      <c r="B128" s="27"/>
      <c r="C128" s="36"/>
      <c r="D128" s="36"/>
      <c r="E128" s="36"/>
      <c r="F128" s="27"/>
    </row>
    <row r="129" spans="1:6">
      <c r="A129" s="29"/>
      <c r="B129" s="30"/>
      <c r="C129" s="36"/>
      <c r="D129" s="36"/>
      <c r="E129" s="36"/>
      <c r="F129" s="27"/>
    </row>
    <row r="130" spans="1:6" ht="38.25">
      <c r="A130" s="29" t="s">
        <v>124</v>
      </c>
      <c r="B130" s="28" t="s">
        <v>125</v>
      </c>
      <c r="C130" s="33" t="s">
        <v>362</v>
      </c>
      <c r="D130" s="33" t="s">
        <v>361</v>
      </c>
      <c r="E130" s="33" t="s">
        <v>360</v>
      </c>
      <c r="F130" s="27"/>
    </row>
    <row r="131" spans="1:6">
      <c r="A131" s="29"/>
      <c r="B131" s="28" t="s">
        <v>126</v>
      </c>
      <c r="C131" s="34"/>
      <c r="D131" s="34"/>
      <c r="E131" s="34"/>
      <c r="F131" s="27"/>
    </row>
    <row r="132" spans="1:6">
      <c r="A132" s="27"/>
      <c r="B132" s="27"/>
      <c r="C132" s="27"/>
      <c r="D132" s="27"/>
      <c r="E132" s="27"/>
      <c r="F132" s="27"/>
    </row>
    <row r="133" spans="1:6">
      <c r="A133" s="27"/>
      <c r="B133" s="27"/>
      <c r="C133" s="27"/>
      <c r="D133" s="27"/>
      <c r="E133" s="27"/>
      <c r="F133" s="27"/>
    </row>
    <row r="135" spans="1:6">
      <c r="D135" s="34"/>
    </row>
    <row r="136" spans="1:6">
      <c r="D136" s="34"/>
    </row>
    <row r="137" spans="1:6">
      <c r="D137" s="34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5A33B2A6CCB547A161950A270407E3" ma:contentTypeVersion="6" ma:contentTypeDescription="Ein neues Dokument erstellen." ma:contentTypeScope="" ma:versionID="30c8e58aff0c29f51bc0baaf72acff20">
  <xsd:schema xmlns:xsd="http://www.w3.org/2001/XMLSchema" xmlns:xs="http://www.w3.org/2001/XMLSchema" xmlns:p="http://schemas.microsoft.com/office/2006/metadata/properties" xmlns:ns1="http://schemas.microsoft.com/sharepoint/v3" xmlns:ns2="7454599f-d106-457b-8c57-c701db197486" targetNamespace="http://schemas.microsoft.com/office/2006/metadata/properties" ma:root="true" ma:fieldsID="6f9bf5ebc84e314b5d8bed6c82c25cb6" ns1:_="" ns2:_="">
    <xsd:import namespace="http://schemas.microsoft.com/sharepoint/v3"/>
    <xsd:import namespace="7454599f-d106-457b-8c57-c701db19748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4599f-d106-457b-8c57-c701db19748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7454599f-d106-457b-8c57-c701db197486">Unternehmen</Kategorie>
    <Titel_IT xmlns="7454599f-d106-457b-8c57-c701db197486">Occupazione nei Grigioni e in Svizzera, 2005-2022</Titel_IT>
    <Benutzerdefinierte_x0020_ID xmlns="7454599f-d106-457b-8c57-c701db197486">1003</Benutzerdefinierte_x0020_ID>
    <PublishingExpirationDate xmlns="http://schemas.microsoft.com/sharepoint/v3" xsi:nil="true"/>
    <Titel_DE xmlns="7454599f-d106-457b-8c57-c701db197486">Beschäftigung Graubünden und Schweiz, 2005-2022</Titel_DE>
    <PublishingStartDate xmlns="http://schemas.microsoft.com/sharepoint/v3" xsi:nil="true"/>
    <Titel_RM xmlns="7454599f-d106-457b-8c57-c701db197486">Occupaziun en il Grischun ed en Svizra, 2005-2022</Titel_RM>
  </documentManagement>
</p:properties>
</file>

<file path=customXml/itemProps1.xml><?xml version="1.0" encoding="utf-8"?>
<ds:datastoreItem xmlns:ds="http://schemas.openxmlformats.org/officeDocument/2006/customXml" ds:itemID="{492318AF-7CCC-4289-A770-A218FFA0A2E5}"/>
</file>

<file path=customXml/itemProps2.xml><?xml version="1.0" encoding="utf-8"?>
<ds:datastoreItem xmlns:ds="http://schemas.openxmlformats.org/officeDocument/2006/customXml" ds:itemID="{93D9C1AB-9196-4270-ACD9-E1FC7D1FE9E7}"/>
</file>

<file path=customXml/itemProps3.xml><?xml version="1.0" encoding="utf-8"?>
<ds:datastoreItem xmlns:ds="http://schemas.openxmlformats.org/officeDocument/2006/customXml" ds:itemID="{05272FB7-BE63-4E84-A607-9F11FE445CB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Graubünden</vt:lpstr>
      <vt:lpstr>Schweiz</vt:lpstr>
      <vt:lpstr>Uebersetzungen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Beschäftigung Graubünden und Schweiz</dc:title>
  <dc:creator>Luzius.Stricker@awt.gr.ch</dc:creator>
  <cp:lastModifiedBy>Stricker Luzius</cp:lastModifiedBy>
  <dcterms:created xsi:type="dcterms:W3CDTF">2016-10-20T15:09:41Z</dcterms:created>
  <dcterms:modified xsi:type="dcterms:W3CDTF">2024-08-16T13:06:32Z</dcterms:modified>
  <cp:category>STATENT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0x010100A85A33B2A6CCB547A161950A270407E3</vt:lpwstr>
  </property>
</Properties>
</file>